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pauledu-my.sharepoint.com/personal/jberdell_depaul_edu/Documents/Documents/Backup/service/hes treasurer/2024-05/jan meeting materials/"/>
    </mc:Choice>
  </mc:AlternateContent>
  <xr:revisionPtr revIDLastSave="0" documentId="8_{45D95D6A-0791-497A-9451-E4517E553FBF}" xr6:coauthVersionLast="47" xr6:coauthVersionMax="47" xr10:uidLastSave="{00000000-0000-0000-0000-000000000000}"/>
  <bookViews>
    <workbookView xWindow="13860" yWindow="-13890" windowWidth="17040" windowHeight="10755" tabRatio="1000" activeTab="1" xr2:uid="{00000000-000D-0000-FFFF-FFFF00000000}"/>
  </bookViews>
  <sheets>
    <sheet name="Corporate-Positions-2024-12-20-" sheetId="17" r:id="rId1"/>
    <sheet name="Report Dec 2023" sheetId="14" r:id="rId2"/>
    <sheet name="data" sheetId="1" r:id="rId3"/>
    <sheet name="pct" sheetId="2" r:id="rId4"/>
    <sheet name="Trade Notes Dec 2024" sheetId="11" r:id="rId5"/>
    <sheet name="adj" sheetId="3" r:id="rId6"/>
    <sheet name="Corporate-Positions-2024-12-19-" sheetId="16" r:id="rId7"/>
    <sheet name="Corporate-Positions-2023-12-12-" sheetId="12" r:id="rId8"/>
    <sheet name="Corporate-Positions-2023-12-10-" sheetId="10" r:id="rId9"/>
    <sheet name="Corporate-Positions-2022-12-13-" sheetId="8" r:id="rId10"/>
    <sheet name="All-Accounts-Positions-2022-12-" sheetId="7" r:id="rId11"/>
    <sheet name="Trade Notes June 2021" sheetId="5" r:id="rId12"/>
    <sheet name="Report Template" sheetId="4" r:id="rId13"/>
    <sheet name="Report Dec 2022" sheetId="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4" l="1"/>
  <c r="B38" i="14"/>
  <c r="B16" i="14"/>
  <c r="B20" i="14"/>
  <c r="B19" i="14"/>
  <c r="B15" i="14"/>
  <c r="B14" i="14"/>
  <c r="B11" i="14"/>
  <c r="B10" i="14"/>
  <c r="B7" i="14"/>
  <c r="B3" i="14"/>
  <c r="B2" i="14"/>
  <c r="M32" i="1"/>
  <c r="L32" i="1"/>
  <c r="J32" i="1"/>
  <c r="I32" i="1"/>
  <c r="H32" i="1"/>
  <c r="G32" i="1"/>
  <c r="F32" i="1"/>
  <c r="E32" i="1"/>
  <c r="D32" i="1"/>
  <c r="C32" i="1"/>
  <c r="B32" i="1"/>
  <c r="J20" i="11"/>
  <c r="B17" i="11"/>
  <c r="B21" i="11"/>
  <c r="B20" i="11"/>
  <c r="B16" i="11"/>
  <c r="B15" i="11"/>
  <c r="B12" i="11"/>
  <c r="B10" i="11"/>
  <c r="B7" i="11"/>
  <c r="B3" i="11"/>
  <c r="B2" i="1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E23" i="14"/>
  <c r="D23" i="14"/>
  <c r="B28" i="2"/>
  <c r="C28" i="2"/>
  <c r="D28" i="2"/>
  <c r="K28" i="2" s="1"/>
  <c r="I30" i="1"/>
  <c r="N30" i="1" s="1"/>
  <c r="M30" i="1"/>
  <c r="L30" i="1"/>
  <c r="L29" i="1"/>
  <c r="J30" i="1"/>
  <c r="I29" i="1"/>
  <c r="H30" i="1"/>
  <c r="G30" i="1"/>
  <c r="F30" i="1"/>
  <c r="F29" i="1"/>
  <c r="E30" i="1"/>
  <c r="E29" i="1"/>
  <c r="D30" i="1"/>
  <c r="F28" i="2" s="1"/>
  <c r="M28" i="2" s="1"/>
  <c r="D29" i="1"/>
  <c r="C30" i="1"/>
  <c r="E28" i="2" s="1"/>
  <c r="L28" i="2" s="1"/>
  <c r="C29" i="1"/>
  <c r="B30" i="1"/>
  <c r="O30" i="1" s="1"/>
  <c r="B29" i="1"/>
  <c r="N32" i="1" l="1"/>
  <c r="B8" i="14"/>
  <c r="B17" i="14"/>
  <c r="G28" i="2"/>
  <c r="N28" i="2" s="1"/>
  <c r="B21" i="14"/>
  <c r="B12" i="14"/>
  <c r="B5" i="14"/>
  <c r="J28" i="2"/>
  <c r="O28" i="2"/>
  <c r="B4" i="11"/>
  <c r="D24" i="11"/>
  <c r="J29" i="1"/>
  <c r="H29" i="1"/>
  <c r="B8" i="11" s="1"/>
  <c r="G29" i="1"/>
  <c r="E27" i="2"/>
  <c r="M29" i="1"/>
  <c r="D27" i="2"/>
  <c r="C27" i="2" l="1"/>
  <c r="H27" i="2" s="1"/>
  <c r="F27" i="2"/>
  <c r="B13" i="11"/>
  <c r="G27" i="2"/>
  <c r="H28" i="2"/>
  <c r="B23" i="14"/>
  <c r="B29" i="14" s="1"/>
  <c r="B50" i="14" s="1"/>
  <c r="B55" i="14" s="1"/>
  <c r="B56" i="14" s="1"/>
  <c r="B5" i="11"/>
  <c r="B22" i="11"/>
  <c r="B18" i="11"/>
  <c r="N29" i="1"/>
  <c r="O29" i="1"/>
  <c r="B27" i="2"/>
  <c r="B48" i="9"/>
  <c r="C5" i="14" l="1"/>
  <c r="J27" i="2"/>
  <c r="C21" i="14"/>
  <c r="C17" i="14"/>
  <c r="B35" i="14"/>
  <c r="C12" i="14"/>
  <c r="C8" i="14"/>
  <c r="B24" i="11"/>
  <c r="E13" i="11" s="1"/>
  <c r="F13" i="11" s="1"/>
  <c r="M27" i="2"/>
  <c r="L27" i="2"/>
  <c r="N27" i="2"/>
  <c r="K27" i="2"/>
  <c r="B49" i="9"/>
  <c r="E18" i="11" l="1"/>
  <c r="C23" i="14"/>
  <c r="O27" i="2"/>
  <c r="C22" i="11"/>
  <c r="C13" i="11"/>
  <c r="C5" i="11"/>
  <c r="E5" i="11"/>
  <c r="F5" i="11" s="1"/>
  <c r="E8" i="11"/>
  <c r="F8" i="11" s="1"/>
  <c r="C8" i="11"/>
  <c r="E22" i="11"/>
  <c r="F22" i="11" s="1"/>
  <c r="C18" i="11"/>
  <c r="F18" i="11"/>
  <c r="B7" i="9"/>
  <c r="B8" i="9" s="1"/>
  <c r="D23" i="9"/>
  <c r="C26" i="2"/>
  <c r="M27" i="1"/>
  <c r="B2" i="9" s="1"/>
  <c r="L27" i="1"/>
  <c r="J27" i="1"/>
  <c r="F26" i="2" s="1"/>
  <c r="I27" i="1"/>
  <c r="B16" i="9" s="1"/>
  <c r="H27" i="1"/>
  <c r="G27" i="1"/>
  <c r="B10" i="9" s="1"/>
  <c r="F27" i="1"/>
  <c r="B19" i="9" s="1"/>
  <c r="E27" i="1"/>
  <c r="B11" i="9" s="1"/>
  <c r="D27" i="1"/>
  <c r="C27" i="1"/>
  <c r="B20" i="9" s="1"/>
  <c r="B27" i="1"/>
  <c r="B26" i="1"/>
  <c r="C26" i="1"/>
  <c r="M26" i="1"/>
  <c r="L26" i="1"/>
  <c r="J26" i="1"/>
  <c r="I26" i="1"/>
  <c r="H26" i="1"/>
  <c r="G26" i="1"/>
  <c r="F26" i="1"/>
  <c r="E26" i="1"/>
  <c r="D26" i="1"/>
  <c r="C24" i="11" l="1"/>
  <c r="O26" i="1"/>
  <c r="O27" i="1"/>
  <c r="G26" i="2"/>
  <c r="F24" i="11"/>
  <c r="E24" i="11"/>
  <c r="B5" i="9"/>
  <c r="D26" i="2"/>
  <c r="B14" i="9"/>
  <c r="B15" i="9"/>
  <c r="E26" i="2"/>
  <c r="N27" i="1"/>
  <c r="B26" i="2"/>
  <c r="M26" i="2" s="1"/>
  <c r="B3" i="9"/>
  <c r="B12" i="9"/>
  <c r="B21" i="9"/>
  <c r="E24" i="2"/>
  <c r="N26" i="1"/>
  <c r="D24" i="2"/>
  <c r="G24" i="2"/>
  <c r="C24" i="2"/>
  <c r="F24" i="2"/>
  <c r="B24" i="2"/>
  <c r="K26" i="2" l="1"/>
  <c r="J26" i="2"/>
  <c r="N26" i="2"/>
  <c r="B17" i="9"/>
  <c r="L26" i="2"/>
  <c r="H26" i="2"/>
  <c r="B23" i="9"/>
  <c r="C5" i="9" s="1"/>
  <c r="N24" i="2"/>
  <c r="G25" i="3" s="1"/>
  <c r="N25" i="3" s="1"/>
  <c r="L24" i="2"/>
  <c r="E25" i="3" s="1"/>
  <c r="L25" i="3" s="1"/>
  <c r="J24" i="2"/>
  <c r="C25" i="3" s="1"/>
  <c r="J25" i="3" s="1"/>
  <c r="K24" i="2"/>
  <c r="D25" i="3" s="1"/>
  <c r="K25" i="3" s="1"/>
  <c r="M24" i="2"/>
  <c r="F25" i="3" s="1"/>
  <c r="M25" i="3" s="1"/>
  <c r="H24" i="2"/>
  <c r="O35" i="5"/>
  <c r="O34" i="5"/>
  <c r="O33" i="5"/>
  <c r="N36" i="5"/>
  <c r="J22" i="5"/>
  <c r="J18" i="5"/>
  <c r="K18" i="5" s="1"/>
  <c r="M18" i="5" s="1"/>
  <c r="J13" i="5"/>
  <c r="J8" i="5"/>
  <c r="J5" i="5"/>
  <c r="G22" i="5"/>
  <c r="G18" i="5"/>
  <c r="G13" i="5"/>
  <c r="K13" i="5" s="1"/>
  <c r="G8" i="5"/>
  <c r="G5" i="5"/>
  <c r="G24" i="5"/>
  <c r="K8" i="5" l="1"/>
  <c r="M8" i="5" s="1"/>
  <c r="J23" i="5"/>
  <c r="G25" i="5"/>
  <c r="H5" i="5" s="1"/>
  <c r="K5" i="5"/>
  <c r="K22" i="5"/>
  <c r="O26" i="2"/>
  <c r="C8" i="9"/>
  <c r="B29" i="9"/>
  <c r="C17" i="9"/>
  <c r="C21" i="9"/>
  <c r="C12" i="9"/>
  <c r="L33" i="3"/>
  <c r="L31" i="3"/>
  <c r="L32" i="3"/>
  <c r="L29" i="3"/>
  <c r="L28" i="3"/>
  <c r="P25" i="3"/>
  <c r="O24" i="2"/>
  <c r="H22" i="5"/>
  <c r="F32" i="5"/>
  <c r="H8" i="5" l="1"/>
  <c r="H18" i="5"/>
  <c r="H13" i="5"/>
  <c r="M22" i="5"/>
  <c r="K27" i="5"/>
  <c r="K28" i="5" s="1"/>
  <c r="K29" i="5" s="1"/>
  <c r="L30" i="3"/>
  <c r="B35" i="9"/>
  <c r="B36" i="9" s="1"/>
  <c r="B47" i="9"/>
  <c r="B51" i="9" s="1"/>
  <c r="B52" i="9" s="1"/>
  <c r="C23" i="9"/>
  <c r="L34" i="3"/>
  <c r="F21" i="5"/>
  <c r="I21" i="5" s="1"/>
  <c r="F25" i="5"/>
  <c r="F12" i="5"/>
  <c r="I12" i="5" s="1"/>
  <c r="F20" i="5"/>
  <c r="I20" i="5" s="1"/>
  <c r="F17" i="5"/>
  <c r="I17" i="5" s="1"/>
  <c r="F16" i="5"/>
  <c r="I16" i="5" s="1"/>
  <c r="F15" i="5"/>
  <c r="I15" i="5" s="1"/>
  <c r="F10" i="5"/>
  <c r="I10" i="5" s="1"/>
  <c r="F7" i="5"/>
  <c r="F2" i="5"/>
  <c r="I2" i="5" s="1"/>
  <c r="F3" i="5"/>
  <c r="I3" i="5" s="1"/>
  <c r="F4" i="5"/>
  <c r="B24" i="1"/>
  <c r="O24" i="1" s="1"/>
  <c r="F30" i="5" l="1"/>
  <c r="F33" i="5" s="1"/>
  <c r="I25" i="5"/>
  <c r="F8" i="5"/>
  <c r="I8" i="5" s="1"/>
  <c r="I7" i="5"/>
  <c r="F13" i="5"/>
  <c r="I13" i="5" s="1"/>
  <c r="F5" i="5"/>
  <c r="I5" i="5" s="1"/>
  <c r="F22" i="5"/>
  <c r="I22" i="5" s="1"/>
  <c r="F18" i="5"/>
  <c r="I18" i="5" s="1"/>
  <c r="A23" i="2"/>
  <c r="B23" i="2"/>
  <c r="C23" i="2"/>
  <c r="D23" i="2"/>
  <c r="E23" i="2"/>
  <c r="F23" i="2"/>
  <c r="G23" i="2"/>
  <c r="B21" i="5"/>
  <c r="B20" i="5"/>
  <c r="B17" i="5"/>
  <c r="B16" i="5"/>
  <c r="B15" i="5"/>
  <c r="B10" i="5"/>
  <c r="B7" i="5"/>
  <c r="B8" i="5" s="1"/>
  <c r="B4" i="5"/>
  <c r="B2" i="5"/>
  <c r="D24" i="5"/>
  <c r="A23" i="3"/>
  <c r="O23" i="1"/>
  <c r="H23" i="2" l="1"/>
  <c r="N23" i="2"/>
  <c r="G23" i="3" s="1"/>
  <c r="N23" i="3" s="1"/>
  <c r="L23" i="2"/>
  <c r="E23" i="3" s="1"/>
  <c r="L23" i="3" s="1"/>
  <c r="F24" i="5"/>
  <c r="B13" i="5"/>
  <c r="K23" i="2"/>
  <c r="D23" i="3" s="1"/>
  <c r="K23" i="3" s="1"/>
  <c r="M23" i="2"/>
  <c r="F23" i="3" s="1"/>
  <c r="M23" i="3" s="1"/>
  <c r="J23" i="2"/>
  <c r="B22" i="5"/>
  <c r="B18" i="5"/>
  <c r="B5" i="5"/>
  <c r="A22" i="3"/>
  <c r="A22" i="2"/>
  <c r="B22" i="2"/>
  <c r="C22" i="2"/>
  <c r="E22" i="2"/>
  <c r="F22" i="2"/>
  <c r="G22" i="2"/>
  <c r="G22" i="1"/>
  <c r="D22" i="2" s="1"/>
  <c r="O22" i="1" l="1"/>
  <c r="H22" i="2"/>
  <c r="J22" i="2"/>
  <c r="C22" i="3" s="1"/>
  <c r="J22" i="3" s="1"/>
  <c r="K22" i="2"/>
  <c r="D22" i="3" s="1"/>
  <c r="K22" i="3" s="1"/>
  <c r="I24" i="5"/>
  <c r="M22" i="2"/>
  <c r="F22" i="3" s="1"/>
  <c r="M22" i="3" s="1"/>
  <c r="L22" i="2"/>
  <c r="E22" i="3" s="1"/>
  <c r="L22" i="3" s="1"/>
  <c r="N22" i="2"/>
  <c r="G22" i="3" s="1"/>
  <c r="N22" i="3" s="1"/>
  <c r="B24" i="5"/>
  <c r="B30" i="5" s="1"/>
  <c r="O23" i="2"/>
  <c r="C23" i="3"/>
  <c r="J23" i="3" s="1"/>
  <c r="P23" i="3" s="1"/>
  <c r="B18" i="4"/>
  <c r="B17" i="4"/>
  <c r="B14" i="4"/>
  <c r="B13" i="4"/>
  <c r="B12" i="4"/>
  <c r="B5" i="4"/>
  <c r="B2" i="4"/>
  <c r="G21" i="1"/>
  <c r="L21" i="1"/>
  <c r="B1" i="4" s="1"/>
  <c r="P22" i="3" l="1"/>
  <c r="O22" i="2"/>
  <c r="C8" i="5"/>
  <c r="C22" i="5"/>
  <c r="C18" i="5"/>
  <c r="C13" i="5"/>
  <c r="C5" i="5"/>
  <c r="B33" i="5"/>
  <c r="A21" i="3"/>
  <c r="A21" i="2"/>
  <c r="B21" i="2"/>
  <c r="C21" i="2"/>
  <c r="D21" i="2"/>
  <c r="E21" i="2"/>
  <c r="F21" i="2"/>
  <c r="G21" i="2"/>
  <c r="O21" i="1"/>
  <c r="N21" i="2" l="1"/>
  <c r="J21" i="2"/>
  <c r="C21" i="3" s="1"/>
  <c r="J21" i="3" s="1"/>
  <c r="H21" i="2"/>
  <c r="C24" i="5"/>
  <c r="L21" i="2"/>
  <c r="E21" i="3" s="1"/>
  <c r="L21" i="3" s="1"/>
  <c r="K21" i="2"/>
  <c r="D21" i="3" s="1"/>
  <c r="K21" i="3" s="1"/>
  <c r="M21" i="2"/>
  <c r="F21" i="3" s="1"/>
  <c r="M21" i="3" s="1"/>
  <c r="G21" i="3"/>
  <c r="N21" i="3" s="1"/>
  <c r="B10" i="4"/>
  <c r="O21" i="2" l="1"/>
  <c r="P21" i="3"/>
  <c r="A20" i="3"/>
  <c r="A20" i="2"/>
  <c r="B20" i="2"/>
  <c r="C20" i="2"/>
  <c r="D20" i="2"/>
  <c r="E20" i="2"/>
  <c r="F20" i="2"/>
  <c r="G20" i="2"/>
  <c r="G20" i="1"/>
  <c r="O20" i="1" s="1"/>
  <c r="H20" i="2" l="1"/>
  <c r="N20" i="2"/>
  <c r="G20" i="3" s="1"/>
  <c r="N20" i="3" s="1"/>
  <c r="M20" i="2"/>
  <c r="F20" i="3" s="1"/>
  <c r="M20" i="3" s="1"/>
  <c r="L20" i="2"/>
  <c r="E20" i="3" s="1"/>
  <c r="L20" i="3" s="1"/>
  <c r="J20" i="2"/>
  <c r="C20" i="3" s="1"/>
  <c r="J20" i="3" s="1"/>
  <c r="K20" i="2"/>
  <c r="D20" i="3" s="1"/>
  <c r="K20" i="3" s="1"/>
  <c r="A19" i="3"/>
  <c r="A19" i="2"/>
  <c r="B19" i="2"/>
  <c r="C19" i="2"/>
  <c r="E19" i="2"/>
  <c r="F19" i="2"/>
  <c r="G19" i="1"/>
  <c r="D19" i="2" s="1"/>
  <c r="K19" i="1"/>
  <c r="G19" i="2" s="1"/>
  <c r="H19" i="2" l="1"/>
  <c r="P20" i="3"/>
  <c r="O20" i="2"/>
  <c r="K19" i="2"/>
  <c r="D19" i="3" s="1"/>
  <c r="K19" i="3" s="1"/>
  <c r="L19" i="2"/>
  <c r="E19" i="3" s="1"/>
  <c r="L19" i="3" s="1"/>
  <c r="N19" i="2"/>
  <c r="G19" i="3" s="1"/>
  <c r="N19" i="3" s="1"/>
  <c r="J19" i="2"/>
  <c r="M19" i="2"/>
  <c r="F19" i="3" s="1"/>
  <c r="M19" i="3" s="1"/>
  <c r="A17" i="2"/>
  <c r="B17" i="2"/>
  <c r="C17" i="2"/>
  <c r="E17" i="2"/>
  <c r="F17" i="2"/>
  <c r="G17" i="2"/>
  <c r="A18" i="2"/>
  <c r="B18" i="2"/>
  <c r="C18" i="2"/>
  <c r="E18" i="2"/>
  <c r="F18" i="2"/>
  <c r="A18" i="3"/>
  <c r="A17" i="3"/>
  <c r="G18" i="1"/>
  <c r="D18" i="2" s="1"/>
  <c r="L18" i="1"/>
  <c r="L18" i="2" l="1"/>
  <c r="E18" i="3" s="1"/>
  <c r="L18" i="3" s="1"/>
  <c r="O19" i="2"/>
  <c r="C19" i="3"/>
  <c r="J19" i="3" s="1"/>
  <c r="P19" i="3" s="1"/>
  <c r="G18" i="2"/>
  <c r="N18" i="2" s="1"/>
  <c r="G18" i="3" s="1"/>
  <c r="N18" i="3" s="1"/>
  <c r="J17" i="2"/>
  <c r="K18" i="2"/>
  <c r="D18" i="3" s="1"/>
  <c r="K18" i="3" s="1"/>
  <c r="N17" i="2"/>
  <c r="G17" i="3" s="1"/>
  <c r="N17" i="3" s="1"/>
  <c r="M18" i="2"/>
  <c r="F18" i="3" s="1"/>
  <c r="M18" i="3" s="1"/>
  <c r="L17" i="2"/>
  <c r="E17" i="3" s="1"/>
  <c r="L17" i="3" s="1"/>
  <c r="J18" i="2"/>
  <c r="M17" i="2"/>
  <c r="F17" i="3" s="1"/>
  <c r="M17" i="3" s="1"/>
  <c r="O18" i="1"/>
  <c r="O19" i="1"/>
  <c r="G17" i="1"/>
  <c r="D17" i="2" s="1"/>
  <c r="O17" i="1" l="1"/>
  <c r="H17" i="2"/>
  <c r="H18" i="2"/>
  <c r="C17" i="3"/>
  <c r="J17" i="3" s="1"/>
  <c r="C18" i="3"/>
  <c r="J18" i="3" s="1"/>
  <c r="P18" i="3" s="1"/>
  <c r="O18" i="2"/>
  <c r="K17" i="2"/>
  <c r="D17" i="3" s="1"/>
  <c r="K17" i="3" s="1"/>
  <c r="A16" i="3"/>
  <c r="A15" i="2"/>
  <c r="B15" i="2"/>
  <c r="C15" i="2"/>
  <c r="D15" i="2"/>
  <c r="E15" i="2"/>
  <c r="F15" i="2"/>
  <c r="A16" i="2"/>
  <c r="B16" i="2"/>
  <c r="C16" i="2"/>
  <c r="D16" i="2"/>
  <c r="E16" i="2"/>
  <c r="F16" i="2"/>
  <c r="G16" i="2"/>
  <c r="O16" i="1"/>
  <c r="H16" i="2" l="1"/>
  <c r="P17" i="3"/>
  <c r="M15" i="2"/>
  <c r="M16" i="2"/>
  <c r="F16" i="3" s="1"/>
  <c r="M16" i="3" s="1"/>
  <c r="L15" i="2"/>
  <c r="N16" i="2"/>
  <c r="G16" i="3" s="1"/>
  <c r="N16" i="3" s="1"/>
  <c r="K15" i="2"/>
  <c r="J15" i="2"/>
  <c r="L16" i="2"/>
  <c r="E16" i="3" s="1"/>
  <c r="L16" i="3" s="1"/>
  <c r="K16" i="2"/>
  <c r="D16" i="3" s="1"/>
  <c r="K16" i="3" s="1"/>
  <c r="O17" i="2"/>
  <c r="J16" i="2"/>
  <c r="A15" i="3"/>
  <c r="F15" i="3"/>
  <c r="M15" i="3" s="1"/>
  <c r="L15" i="1"/>
  <c r="G15" i="2" l="1"/>
  <c r="O16" i="2"/>
  <c r="C16" i="3"/>
  <c r="J16" i="3" s="1"/>
  <c r="P16" i="3" s="1"/>
  <c r="E15" i="3"/>
  <c r="L15" i="3" s="1"/>
  <c r="D15" i="3"/>
  <c r="K15" i="3" s="1"/>
  <c r="O15" i="1"/>
  <c r="N15" i="2" l="1"/>
  <c r="O15" i="2" s="1"/>
  <c r="H15" i="2"/>
  <c r="C15" i="3"/>
  <c r="J15" i="3" s="1"/>
  <c r="A14" i="3"/>
  <c r="A14" i="2"/>
  <c r="B14" i="2"/>
  <c r="C14" i="2"/>
  <c r="D14" i="2"/>
  <c r="E14" i="2"/>
  <c r="F14" i="2"/>
  <c r="G14" i="2"/>
  <c r="O14" i="1"/>
  <c r="G15" i="3" l="1"/>
  <c r="N15" i="3" s="1"/>
  <c r="P15" i="3" s="1"/>
  <c r="H14" i="2"/>
  <c r="M14" i="2"/>
  <c r="F14" i="3" s="1"/>
  <c r="M14" i="3" s="1"/>
  <c r="K14" i="2"/>
  <c r="D14" i="3" s="1"/>
  <c r="K14" i="3" s="1"/>
  <c r="L14" i="2"/>
  <c r="E14" i="3" s="1"/>
  <c r="L14" i="3" s="1"/>
  <c r="N14" i="2"/>
  <c r="G14" i="3" s="1"/>
  <c r="N14" i="3" s="1"/>
  <c r="J14" i="2"/>
  <c r="C14" i="3" s="1"/>
  <c r="J14" i="3" s="1"/>
  <c r="D21" i="4"/>
  <c r="A13" i="3"/>
  <c r="O14" i="2" l="1"/>
  <c r="P14" i="3"/>
  <c r="A13" i="2"/>
  <c r="B13" i="2"/>
  <c r="C13" i="2"/>
  <c r="D13" i="2"/>
  <c r="E13" i="2"/>
  <c r="F13" i="2"/>
  <c r="G13" i="2"/>
  <c r="H13" i="2" l="1"/>
  <c r="N13" i="2"/>
  <c r="G13" i="3" s="1"/>
  <c r="N13" i="3" s="1"/>
  <c r="M13" i="2"/>
  <c r="F13" i="3" s="1"/>
  <c r="M13" i="3" s="1"/>
  <c r="J13" i="2"/>
  <c r="C13" i="3" s="1"/>
  <c r="J13" i="3" s="1"/>
  <c r="L13" i="2"/>
  <c r="E13" i="3" s="1"/>
  <c r="L13" i="3" s="1"/>
  <c r="K13" i="2"/>
  <c r="D13" i="3" s="1"/>
  <c r="K13" i="3" s="1"/>
  <c r="A12" i="3"/>
  <c r="A12" i="2"/>
  <c r="B12" i="2"/>
  <c r="C12" i="2"/>
  <c r="D12" i="2"/>
  <c r="E12" i="2"/>
  <c r="F12" i="2"/>
  <c r="G12" i="2"/>
  <c r="B11" i="2"/>
  <c r="C11" i="2"/>
  <c r="D11" i="2"/>
  <c r="E11" i="2"/>
  <c r="F11" i="2"/>
  <c r="G11" i="2"/>
  <c r="O11" i="1"/>
  <c r="O12" i="1"/>
  <c r="O13" i="1"/>
  <c r="B19" i="4"/>
  <c r="B15" i="4"/>
  <c r="B6" i="4"/>
  <c r="B3" i="4"/>
  <c r="B10" i="2"/>
  <c r="C10" i="2"/>
  <c r="D10" i="2"/>
  <c r="E10" i="2"/>
  <c r="F10" i="2"/>
  <c r="G10" i="2"/>
  <c r="C4" i="2"/>
  <c r="D4" i="2"/>
  <c r="C5" i="2"/>
  <c r="D5" i="2"/>
  <c r="C6" i="2"/>
  <c r="D6" i="2"/>
  <c r="C7" i="2"/>
  <c r="D7" i="2"/>
  <c r="C8" i="2"/>
  <c r="D8" i="2"/>
  <c r="C9" i="2"/>
  <c r="D9" i="2"/>
  <c r="C3" i="2"/>
  <c r="D3" i="2"/>
  <c r="B9" i="2"/>
  <c r="E9" i="2"/>
  <c r="F9" i="2"/>
  <c r="G9" i="2"/>
  <c r="A9" i="3"/>
  <c r="A10" i="3"/>
  <c r="B7" i="2"/>
  <c r="E7" i="2"/>
  <c r="F7" i="2"/>
  <c r="G7" i="2"/>
  <c r="B8" i="2"/>
  <c r="E8" i="2"/>
  <c r="F8" i="2"/>
  <c r="O9" i="1"/>
  <c r="O10" i="1"/>
  <c r="L8" i="1"/>
  <c r="O8" i="1" s="1"/>
  <c r="F6" i="2"/>
  <c r="F5" i="2"/>
  <c r="F4" i="2"/>
  <c r="F3" i="2"/>
  <c r="A8" i="3"/>
  <c r="A11" i="3"/>
  <c r="A7" i="3"/>
  <c r="A10" i="2"/>
  <c r="A11" i="2"/>
  <c r="A7" i="2"/>
  <c r="O7" i="1"/>
  <c r="A6" i="3"/>
  <c r="B6" i="2"/>
  <c r="E6" i="2"/>
  <c r="G6" i="2"/>
  <c r="A5" i="3"/>
  <c r="B5" i="2"/>
  <c r="E5" i="2"/>
  <c r="G5" i="2"/>
  <c r="A6" i="2"/>
  <c r="O6" i="1"/>
  <c r="A5" i="2"/>
  <c r="O5" i="1"/>
  <c r="B4" i="2"/>
  <c r="E4" i="2"/>
  <c r="G4" i="2"/>
  <c r="A4" i="3"/>
  <c r="A4" i="2"/>
  <c r="E3" i="2"/>
  <c r="O4" i="1"/>
  <c r="O3" i="1"/>
  <c r="A3" i="3"/>
  <c r="A3" i="2"/>
  <c r="G3" i="2"/>
  <c r="B3" i="2"/>
  <c r="L11" i="2" l="1"/>
  <c r="E11" i="3" s="1"/>
  <c r="L11" i="3" s="1"/>
  <c r="L4" i="2"/>
  <c r="E4" i="3" s="1"/>
  <c r="L4" i="3" s="1"/>
  <c r="L8" i="2"/>
  <c r="E8" i="3" s="1"/>
  <c r="L8" i="3" s="1"/>
  <c r="N3" i="2"/>
  <c r="G3" i="3" s="1"/>
  <c r="N3" i="3" s="1"/>
  <c r="M12" i="2"/>
  <c r="F12" i="3" s="1"/>
  <c r="M12" i="3" s="1"/>
  <c r="J4" i="2"/>
  <c r="C4" i="3" s="1"/>
  <c r="J4" i="3" s="1"/>
  <c r="M10" i="2"/>
  <c r="F10" i="3" s="1"/>
  <c r="M10" i="3" s="1"/>
  <c r="J3" i="2"/>
  <c r="C3" i="3" s="1"/>
  <c r="J3" i="3" s="1"/>
  <c r="N12" i="2"/>
  <c r="G12" i="3" s="1"/>
  <c r="N12" i="3" s="1"/>
  <c r="N9" i="2"/>
  <c r="G9" i="3" s="1"/>
  <c r="N9" i="3" s="1"/>
  <c r="L3" i="2"/>
  <c r="E3" i="3" s="1"/>
  <c r="L3" i="3" s="1"/>
  <c r="N4" i="2"/>
  <c r="G4" i="3" s="1"/>
  <c r="N4" i="3" s="1"/>
  <c r="M9" i="2"/>
  <c r="F9" i="3" s="1"/>
  <c r="M9" i="3" s="1"/>
  <c r="L9" i="2"/>
  <c r="E9" i="3" s="1"/>
  <c r="L9" i="3" s="1"/>
  <c r="K4" i="2"/>
  <c r="D4" i="3" s="1"/>
  <c r="K4" i="3" s="1"/>
  <c r="N5" i="2"/>
  <c r="G5" i="3" s="1"/>
  <c r="N5" i="3" s="1"/>
  <c r="K3" i="2"/>
  <c r="D3" i="3" s="1"/>
  <c r="K3" i="3" s="1"/>
  <c r="J7" i="2"/>
  <c r="C7" i="3" s="1"/>
  <c r="J7" i="3" s="1"/>
  <c r="L5" i="2"/>
  <c r="E5" i="3" s="1"/>
  <c r="L5" i="3" s="1"/>
  <c r="L6" i="2"/>
  <c r="E6" i="3" s="1"/>
  <c r="L6" i="3" s="1"/>
  <c r="N7" i="2"/>
  <c r="G7" i="3" s="1"/>
  <c r="N7" i="3" s="1"/>
  <c r="K8" i="2"/>
  <c r="D8" i="3" s="1"/>
  <c r="K8" i="3" s="1"/>
  <c r="K6" i="2"/>
  <c r="D6" i="3" s="1"/>
  <c r="K6" i="3" s="1"/>
  <c r="N6" i="2"/>
  <c r="G6" i="3" s="1"/>
  <c r="N6" i="3" s="1"/>
  <c r="M4" i="2"/>
  <c r="F4" i="3" s="1"/>
  <c r="M4" i="3" s="1"/>
  <c r="G8" i="2"/>
  <c r="N8" i="2" s="1"/>
  <c r="G8" i="3" s="1"/>
  <c r="N8" i="3" s="1"/>
  <c r="K9" i="2"/>
  <c r="D9" i="3" s="1"/>
  <c r="K9" i="3" s="1"/>
  <c r="K10" i="2"/>
  <c r="D10" i="3" s="1"/>
  <c r="K10" i="3" s="1"/>
  <c r="L12" i="2"/>
  <c r="E12" i="3" s="1"/>
  <c r="L12" i="3" s="1"/>
  <c r="M8" i="2"/>
  <c r="F8" i="3" s="1"/>
  <c r="M8" i="3" s="1"/>
  <c r="K5" i="2"/>
  <c r="D5" i="3" s="1"/>
  <c r="K5" i="3" s="1"/>
  <c r="M11" i="2"/>
  <c r="F11" i="3" s="1"/>
  <c r="M11" i="3" s="1"/>
  <c r="K12" i="2"/>
  <c r="D12" i="3" s="1"/>
  <c r="K12" i="3" s="1"/>
  <c r="L7" i="2"/>
  <c r="E7" i="3" s="1"/>
  <c r="L7" i="3" s="1"/>
  <c r="J10" i="2"/>
  <c r="C10" i="3" s="1"/>
  <c r="J10" i="3" s="1"/>
  <c r="N10" i="2"/>
  <c r="G10" i="3" s="1"/>
  <c r="N10" i="3" s="1"/>
  <c r="P13" i="3"/>
  <c r="J8" i="2"/>
  <c r="N11" i="2"/>
  <c r="G11" i="3" s="1"/>
  <c r="N11" i="3" s="1"/>
  <c r="M6" i="2"/>
  <c r="F6" i="3" s="1"/>
  <c r="M6" i="3" s="1"/>
  <c r="M3" i="2"/>
  <c r="F3" i="3" s="1"/>
  <c r="M3" i="3" s="1"/>
  <c r="J5" i="2"/>
  <c r="C5" i="3" s="1"/>
  <c r="J5" i="3" s="1"/>
  <c r="K7" i="2"/>
  <c r="D7" i="3" s="1"/>
  <c r="K7" i="3" s="1"/>
  <c r="L10" i="2"/>
  <c r="E10" i="3" s="1"/>
  <c r="L10" i="3" s="1"/>
  <c r="J9" i="2"/>
  <c r="K11" i="2"/>
  <c r="D11" i="3" s="1"/>
  <c r="K11" i="3" s="1"/>
  <c r="J6" i="2"/>
  <c r="B21" i="4"/>
  <c r="J11" i="2"/>
  <c r="M7" i="2"/>
  <c r="F7" i="3" s="1"/>
  <c r="M7" i="3" s="1"/>
  <c r="M5" i="2"/>
  <c r="F5" i="3" s="1"/>
  <c r="M5" i="3" s="1"/>
  <c r="J12" i="2"/>
  <c r="O13" i="2"/>
  <c r="B23" i="4" l="1"/>
  <c r="C23" i="4" s="1"/>
  <c r="O3" i="2"/>
  <c r="P4" i="3"/>
  <c r="O4" i="2"/>
  <c r="O8" i="2"/>
  <c r="P3" i="3"/>
  <c r="P7" i="3"/>
  <c r="O5" i="2"/>
  <c r="C8" i="3"/>
  <c r="J8" i="3" s="1"/>
  <c r="P8" i="3" s="1"/>
  <c r="P10" i="3"/>
  <c r="O10" i="2"/>
  <c r="C10" i="4"/>
  <c r="C6" i="3"/>
  <c r="J6" i="3" s="1"/>
  <c r="P6" i="3" s="1"/>
  <c r="O6" i="2"/>
  <c r="O12" i="2"/>
  <c r="C12" i="3"/>
  <c r="J12" i="3" s="1"/>
  <c r="P12" i="3" s="1"/>
  <c r="O7" i="2"/>
  <c r="C19" i="4"/>
  <c r="C9" i="3"/>
  <c r="J9" i="3" s="1"/>
  <c r="P9" i="3" s="1"/>
  <c r="O9" i="2"/>
  <c r="C6" i="4"/>
  <c r="C3" i="4"/>
  <c r="C15" i="4"/>
  <c r="O11" i="2"/>
  <c r="C11" i="3"/>
  <c r="J11" i="3" s="1"/>
  <c r="P11" i="3" s="1"/>
  <c r="P5" i="3"/>
  <c r="B26" i="4" l="1"/>
  <c r="C26" i="4" s="1"/>
  <c r="C21" i="4"/>
</calcChain>
</file>

<file path=xl/sharedStrings.xml><?xml version="1.0" encoding="utf-8"?>
<sst xmlns="http://schemas.openxmlformats.org/spreadsheetml/2006/main" count="1018" uniqueCount="185">
  <si>
    <t>VNQ</t>
  </si>
  <si>
    <t>Total</t>
  </si>
  <si>
    <t>SWISX</t>
  </si>
  <si>
    <t>SWTSX</t>
  </si>
  <si>
    <t>CD</t>
  </si>
  <si>
    <t>Cash</t>
  </si>
  <si>
    <t>check</t>
  </si>
  <si>
    <t>total</t>
  </si>
  <si>
    <t>reit</t>
  </si>
  <si>
    <t>bonds</t>
  </si>
  <si>
    <t>cash</t>
  </si>
  <si>
    <t>stocks, domestic</t>
  </si>
  <si>
    <t>stocks, intl</t>
  </si>
  <si>
    <t>Dollars</t>
  </si>
  <si>
    <t>bond</t>
  </si>
  <si>
    <t>WY</t>
  </si>
  <si>
    <t>LQD</t>
  </si>
  <si>
    <t>int'l stock</t>
  </si>
  <si>
    <t>total bond</t>
  </si>
  <si>
    <t>total US stock</t>
  </si>
  <si>
    <t>tips</t>
  </si>
  <si>
    <t>SWRSX</t>
  </si>
  <si>
    <t>SWLBX/SWAGX</t>
  </si>
  <si>
    <t>Cash &amp; Money Market</t>
  </si>
  <si>
    <t>CD (Barclays due 7-2-19)</t>
  </si>
  <si>
    <t>Total Cash</t>
  </si>
  <si>
    <t>Schwab Total Stock Mkt Index Fund (SWTSX) [US]</t>
  </si>
  <si>
    <t>Total US Stocks</t>
  </si>
  <si>
    <t>Schwab International Index Fund (SWISX) [Non-US developed]</t>
  </si>
  <si>
    <t>Total Non-US Stocks</t>
  </si>
  <si>
    <t>Schwab Total Bond Mkt Fund (SWLBX) [US Index]</t>
  </si>
  <si>
    <t>Ishares IBOXX Investment Grade Bond ETF (LQD) [Corporate]</t>
  </si>
  <si>
    <t>Schwab TIPS Index Fund (SWRSX) [US Inflation-Indexed]</t>
  </si>
  <si>
    <t>Total Bonds</t>
  </si>
  <si>
    <t>Vanguard REIT ETF (VNQ)</t>
  </si>
  <si>
    <t>Weyerhaeuser (WY) [Forestry REIT]</t>
  </si>
  <si>
    <t>Total REIT</t>
  </si>
  <si>
    <t>Schwab Total</t>
  </si>
  <si>
    <t>over/(under):</t>
  </si>
  <si>
    <t>Grand Total</t>
  </si>
  <si>
    <t>Change in grand total</t>
  </si>
  <si>
    <t>last year's grand total</t>
  </si>
  <si>
    <t>Vanguard FTSE Europe</t>
  </si>
  <si>
    <t>VGK</t>
  </si>
  <si>
    <t xml:space="preserve">Bank of America </t>
  </si>
  <si>
    <t>Non investment accounts below</t>
  </si>
  <si>
    <t>Paypal</t>
  </si>
  <si>
    <t>SNVXX</t>
  </si>
  <si>
    <t>Cah&amp;Cash Investiemnts</t>
  </si>
  <si>
    <t>Gov Money Market SNVXX</t>
  </si>
  <si>
    <t>VGK VANGUARD FTSE EUROPE ETF IV</t>
  </si>
  <si>
    <t>in above</t>
  </si>
  <si>
    <t xml:space="preserve">Schwab total </t>
  </si>
  <si>
    <t>Sum Schwab Categories</t>
  </si>
  <si>
    <t>Target</t>
  </si>
  <si>
    <t>Change in grand total from May 31, 2020</t>
  </si>
  <si>
    <t>grand total from May 31, 2020</t>
  </si>
  <si>
    <t>Schwab International Index Fund (SWISX) [Non-US dev.]</t>
  </si>
  <si>
    <t>Ishares IBOXX Investment Grade Bond ETF (LQD) [Corp.]</t>
  </si>
  <si>
    <r>
      <t xml:space="preserve">Schwab Total Bond Mkt Fund (SWAGX </t>
    </r>
    <r>
      <rPr>
        <strike/>
        <sz val="10"/>
        <color rgb="FF000000"/>
        <rFont val="Calibri"/>
        <family val="2"/>
        <scheme val="minor"/>
      </rPr>
      <t>SWLBX</t>
    </r>
    <r>
      <rPr>
        <sz val="10"/>
        <color rgb="FF000000"/>
        <rFont val="Calibri"/>
        <family val="2"/>
        <scheme val="minor"/>
      </rPr>
      <t>) [US Index]</t>
    </r>
  </si>
  <si>
    <t>Vanguard FTSE Europe  (inc in above) for 2020</t>
  </si>
  <si>
    <t>21-22 %chg</t>
  </si>
  <si>
    <t>target amout</t>
  </si>
  <si>
    <t>buy sell</t>
  </si>
  <si>
    <t>price</t>
  </si>
  <si>
    <t>swtsx</t>
  </si>
  <si>
    <t>sell</t>
  </si>
  <si>
    <t>leave</t>
  </si>
  <si>
    <t>three trades</t>
  </si>
  <si>
    <t>at</t>
  </si>
  <si>
    <t>for</t>
  </si>
  <si>
    <t>swRsx</t>
  </si>
  <si>
    <t>vnq</t>
  </si>
  <si>
    <t>buy</t>
  </si>
  <si>
    <t>doing all buy sell will bring cash to 5%</t>
  </si>
  <si>
    <t>--</t>
  </si>
  <si>
    <t>Account Total</t>
  </si>
  <si>
    <t>Cash and Money Market</t>
  </si>
  <si>
    <t>Cash &amp; Cash Investments</t>
  </si>
  <si>
    <t>Yes</t>
  </si>
  <si>
    <t>N/A</t>
  </si>
  <si>
    <t>SCHWAB GOVERNMENT MONEY INV</t>
  </si>
  <si>
    <t>Mutual Fund</t>
  </si>
  <si>
    <t>No</t>
  </si>
  <si>
    <t>SCHWAB US AGGREGATE BOND INDEX</t>
  </si>
  <si>
    <t>SWAGX</t>
  </si>
  <si>
    <t>SCHWAB TREASURY INFL PRO TECTED SECS IDX</t>
  </si>
  <si>
    <t>SCHWAB TOTAL STOCK MARKE T INDEX</t>
  </si>
  <si>
    <t>SCHWAB INTERNATIONAL IND EX</t>
  </si>
  <si>
    <t>ETFs &amp; Closed End Funds</t>
  </si>
  <si>
    <t>VANGUARD REAL ESTATE ETF</t>
  </si>
  <si>
    <t>VANGUARD FTSE EUROPE ETF</t>
  </si>
  <si>
    <t>ISHARES IBOXX INVT GRADE BOND ETF</t>
  </si>
  <si>
    <t>Equity</t>
  </si>
  <si>
    <t>WEYERHAEUSER CO REIT</t>
  </si>
  <si>
    <t>Security Type</t>
  </si>
  <si>
    <t>In The Money</t>
  </si>
  <si>
    <t>Intrinsic Value</t>
  </si>
  <si>
    <t>Volume</t>
  </si>
  <si>
    <t>52 Week High</t>
  </si>
  <si>
    <t>52 Week Low</t>
  </si>
  <si>
    <t>P/E Ratio</t>
  </si>
  <si>
    <t>Ex-Dividend Date</t>
  </si>
  <si>
    <t>Last Dividend</t>
  </si>
  <si>
    <t>Dividend Yield</t>
  </si>
  <si>
    <t>% Of Account</t>
  </si>
  <si>
    <t>Capital Gains?</t>
  </si>
  <si>
    <t>Reinvest Dividends?</t>
  </si>
  <si>
    <t>Gain/Loss %</t>
  </si>
  <si>
    <t>Gain/Loss $</t>
  </si>
  <si>
    <t>Cost Basis</t>
  </si>
  <si>
    <t>Day Change %</t>
  </si>
  <si>
    <t>Day Change $</t>
  </si>
  <si>
    <t>Market Value</t>
  </si>
  <si>
    <t>Price Change %</t>
  </si>
  <si>
    <t>Price Change $</t>
  </si>
  <si>
    <t>Price</t>
  </si>
  <si>
    <t>Quantity</t>
  </si>
  <si>
    <t>Description</t>
  </si>
  <si>
    <t>Symbol</t>
  </si>
  <si>
    <t>Chk total</t>
  </si>
  <si>
    <t>tips bond</t>
  </si>
  <si>
    <t>Corporate  XXXX-3950</t>
  </si>
  <si>
    <t>Positions for All-Accounts as of 02:57 PM ET, 12/09/2022</t>
  </si>
  <si>
    <t>wy</t>
  </si>
  <si>
    <t>lqd</t>
  </si>
  <si>
    <t>swag</t>
  </si>
  <si>
    <t>Positions for account Corporate  XXXX-3950 as of 07:57 AM ET, 12/13/2022</t>
  </si>
  <si>
    <t>grand total from June 2021</t>
  </si>
  <si>
    <t xml:space="preserve">Cash </t>
  </si>
  <si>
    <t>Chase</t>
  </si>
  <si>
    <t>grand total December 2022</t>
  </si>
  <si>
    <t>Grand total 12/21/2021</t>
  </si>
  <si>
    <t>Change in grand total from Dec of last year</t>
  </si>
  <si>
    <t>Memo: 4% of past 3 years Investment Total at Two Points Per Year</t>
  </si>
  <si>
    <t>Average balance over past 3 years (6obs) Dec2022</t>
  </si>
  <si>
    <t>Average balance over past 3 years Dec 2021</t>
  </si>
  <si>
    <t>4% of Average Balance Dec 2021</t>
  </si>
  <si>
    <t>4% of Average Balance Dec 2022</t>
  </si>
  <si>
    <t>SCHWAB TOTAL STOCK MARKET INDEX</t>
  </si>
  <si>
    <t>SCHWAB TREASURY INFL PROTECTED SECS IDX</t>
  </si>
  <si>
    <t>SCHWAB INTERNATIONAL INDEX</t>
  </si>
  <si>
    <t>ISHARES IBOXX INVT GRADEBOND ETF</t>
  </si>
  <si>
    <t>B</t>
  </si>
  <si>
    <t>Ratings</t>
  </si>
  <si>
    <t>Corporate ...950</t>
  </si>
  <si>
    <t>Positions for CUSTACCS as of 05:04 PM ET, 12/10/2023</t>
  </si>
  <si>
    <t>Order of funds in Corporate Postions Shifts</t>
  </si>
  <si>
    <t>NOW</t>
  </si>
  <si>
    <t>Totals</t>
  </si>
  <si>
    <t>SELL SWTSX</t>
  </si>
  <si>
    <t>done</t>
  </si>
  <si>
    <t>done limit order</t>
  </si>
  <si>
    <t>Positions for CUSTACCS as of 12:04 PM ET, 12/12/2023</t>
  </si>
  <si>
    <t>grand total 5-31-2020</t>
  </si>
  <si>
    <t>grand total June 2021</t>
  </si>
  <si>
    <t>Grand total 12/12/2022</t>
  </si>
  <si>
    <t>grand total 12/12/2023</t>
  </si>
  <si>
    <t>buy (sell)</t>
  </si>
  <si>
    <t>Average balance over past 3 years Dec 2024</t>
  </si>
  <si>
    <t>ISHARES IBOXX INVT GRADEBOND ETF IV</t>
  </si>
  <si>
    <t>F</t>
  </si>
  <si>
    <t>% of Acct (% of Account)</t>
  </si>
  <si>
    <t>Reinvest Capital Gains?</t>
  </si>
  <si>
    <t>Reinvest?</t>
  </si>
  <si>
    <t>Gain $ (Gain/Loss $)</t>
  </si>
  <si>
    <t>Gain % (Gain/Loss %)</t>
  </si>
  <si>
    <t>Day Chng $ (Day Change $)</t>
  </si>
  <si>
    <t>Day Chng % (Day Change %)</t>
  </si>
  <si>
    <t>Mkt Val (Market Value)</t>
  </si>
  <si>
    <t>Price Chng $ (Price Change $)</t>
  </si>
  <si>
    <t>Price Chng % (Price Change %)</t>
  </si>
  <si>
    <t>Qty (Quantity)</t>
  </si>
  <si>
    <t>Positions for CUSTACCS as of 11:00 AM ET, 12/19/2024</t>
  </si>
  <si>
    <t>drop CDs</t>
  </si>
  <si>
    <t>BUY  SWISX</t>
  </si>
  <si>
    <t>BUY 18.8K SWAGX</t>
  </si>
  <si>
    <t>BUY 18.8K LQD</t>
  </si>
  <si>
    <t>BUY 18.8K SWRSX</t>
  </si>
  <si>
    <t>BUY 3.25K VNQ</t>
  </si>
  <si>
    <t>BUY 3.25K WY</t>
  </si>
  <si>
    <t>move to SNVXX</t>
  </si>
  <si>
    <t>Positions for CUSTACCS as of 09:28 PM ET, 12/20/2024</t>
  </si>
  <si>
    <t>5% of past 3 years</t>
  </si>
  <si>
    <t>grand total 12/20/2024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</si>
</sst>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m/d/yy;@"/>
    <numFmt numFmtId="167" formatCode="&quot;$&quot;#,##0.00"/>
    <numFmt numFmtId="168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trike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164" fontId="0" fillId="0" borderId="0" xfId="0" applyNumberFormat="1"/>
    <xf numFmtId="166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2" fillId="0" borderId="0" xfId="0" applyFont="1" applyAlignment="1">
      <alignment vertical="center"/>
    </xf>
    <xf numFmtId="6" fontId="0" fillId="0" borderId="0" xfId="0" applyNumberFormat="1"/>
    <xf numFmtId="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5"/>
    </xf>
    <xf numFmtId="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0" xfId="2" applyNumberFormat="1" applyFont="1" applyAlignment="1">
      <alignment horizontal="right" vertical="center"/>
    </xf>
    <xf numFmtId="9" fontId="2" fillId="0" borderId="0" xfId="2" applyFont="1" applyAlignment="1">
      <alignment horizontal="right" vertical="center"/>
    </xf>
    <xf numFmtId="6" fontId="0" fillId="0" borderId="0" xfId="0" applyNumberFormat="1" applyAlignment="1">
      <alignment horizontal="right" vertical="center"/>
    </xf>
    <xf numFmtId="4" fontId="0" fillId="0" borderId="0" xfId="0" applyNumberFormat="1"/>
    <xf numFmtId="8" fontId="0" fillId="0" borderId="0" xfId="0" applyNumberFormat="1"/>
    <xf numFmtId="10" fontId="0" fillId="0" borderId="0" xfId="0" applyNumberFormat="1"/>
    <xf numFmtId="167" fontId="0" fillId="0" borderId="0" xfId="1" applyNumberFormat="1" applyFont="1"/>
    <xf numFmtId="40" fontId="0" fillId="0" borderId="0" xfId="0" applyNumberFormat="1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vertical="center"/>
    </xf>
    <xf numFmtId="6" fontId="6" fillId="0" borderId="0" xfId="0" applyNumberFormat="1" applyFont="1" applyAlignment="1">
      <alignment horizontal="right" vertical="center"/>
    </xf>
    <xf numFmtId="8" fontId="5" fillId="0" borderId="0" xfId="0" applyNumberFormat="1" applyFont="1"/>
    <xf numFmtId="0" fontId="7" fillId="0" borderId="0" xfId="0" applyFont="1" applyAlignment="1">
      <alignment horizontal="left" vertical="center" indent="5"/>
    </xf>
    <xf numFmtId="164" fontId="6" fillId="0" borderId="0" xfId="2" applyNumberFormat="1" applyFont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10" fontId="5" fillId="0" borderId="0" xfId="0" applyNumberFormat="1" applyFont="1"/>
    <xf numFmtId="9" fontId="6" fillId="0" borderId="0" xfId="2" applyFont="1" applyAlignment="1">
      <alignment horizontal="right" vertical="center"/>
    </xf>
    <xf numFmtId="6" fontId="5" fillId="0" borderId="0" xfId="0" applyNumberFormat="1" applyFont="1"/>
    <xf numFmtId="4" fontId="5" fillId="0" borderId="0" xfId="0" applyNumberFormat="1" applyFont="1"/>
    <xf numFmtId="164" fontId="5" fillId="0" borderId="0" xfId="2" applyNumberFormat="1" applyFont="1"/>
    <xf numFmtId="168" fontId="6" fillId="0" borderId="0" xfId="0" applyNumberFormat="1" applyFont="1" applyAlignment="1">
      <alignment horizontal="right" vertical="center"/>
    </xf>
    <xf numFmtId="168" fontId="5" fillId="0" borderId="0" xfId="0" applyNumberFormat="1" applyFont="1"/>
    <xf numFmtId="168" fontId="4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6" fontId="4" fillId="0" borderId="0" xfId="0" applyNumberFormat="1" applyFont="1" applyAlignment="1">
      <alignment horizontal="right" vertical="center"/>
    </xf>
    <xf numFmtId="9" fontId="0" fillId="0" borderId="0" xfId="0" applyNumberFormat="1"/>
    <xf numFmtId="3" fontId="0" fillId="0" borderId="0" xfId="0" applyNumberFormat="1"/>
    <xf numFmtId="44" fontId="0" fillId="0" borderId="0" xfId="0" applyNumberFormat="1"/>
    <xf numFmtId="167" fontId="0" fillId="0" borderId="0" xfId="0" applyNumberFormat="1"/>
    <xf numFmtId="5" fontId="0" fillId="0" borderId="0" xfId="0" applyNumberFormat="1"/>
    <xf numFmtId="5" fontId="0" fillId="0" borderId="0" xfId="1" applyNumberFormat="1" applyFont="1"/>
    <xf numFmtId="14" fontId="5" fillId="0" borderId="0" xfId="0" applyNumberFormat="1" applyFont="1" applyAlignment="1">
      <alignment horizontal="right"/>
    </xf>
    <xf numFmtId="9" fontId="5" fillId="0" borderId="0" xfId="0" applyNumberFormat="1" applyFont="1"/>
    <xf numFmtId="10" fontId="6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0" fontId="6" fillId="0" borderId="0" xfId="2" applyNumberFormat="1" applyFont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D6ED-7E58-4090-A13A-A8B404E9DE29}">
  <dimension ref="A1:Q15"/>
  <sheetViews>
    <sheetView workbookViewId="0"/>
  </sheetViews>
  <sheetFormatPr defaultRowHeight="14.25" x14ac:dyDescent="0.45"/>
  <cols>
    <col min="7" max="7" width="13.796875" customWidth="1"/>
  </cols>
  <sheetData>
    <row r="1" spans="1:17" x14ac:dyDescent="0.45">
      <c r="A1" t="s">
        <v>182</v>
      </c>
    </row>
    <row r="3" spans="1:17" x14ac:dyDescent="0.45">
      <c r="A3" t="s">
        <v>145</v>
      </c>
    </row>
    <row r="4" spans="1:17" x14ac:dyDescent="0.45">
      <c r="A4" t="s">
        <v>119</v>
      </c>
      <c r="B4" t="s">
        <v>118</v>
      </c>
      <c r="C4" t="s">
        <v>172</v>
      </c>
      <c r="D4" t="s">
        <v>116</v>
      </c>
      <c r="E4" t="s">
        <v>171</v>
      </c>
      <c r="F4" t="s">
        <v>170</v>
      </c>
      <c r="G4" t="s">
        <v>169</v>
      </c>
      <c r="H4" t="s">
        <v>168</v>
      </c>
      <c r="I4" t="s">
        <v>167</v>
      </c>
      <c r="J4" t="s">
        <v>110</v>
      </c>
      <c r="K4" t="s">
        <v>166</v>
      </c>
      <c r="L4" t="s">
        <v>165</v>
      </c>
      <c r="M4" t="s">
        <v>144</v>
      </c>
      <c r="N4" t="s">
        <v>164</v>
      </c>
      <c r="O4" t="s">
        <v>163</v>
      </c>
      <c r="P4" t="s">
        <v>162</v>
      </c>
      <c r="Q4" t="s">
        <v>95</v>
      </c>
    </row>
    <row r="5" spans="1:17" x14ac:dyDescent="0.45">
      <c r="A5" t="s">
        <v>15</v>
      </c>
      <c r="B5" t="s">
        <v>94</v>
      </c>
      <c r="C5">
        <v>616</v>
      </c>
      <c r="D5" s="18">
        <v>27.5</v>
      </c>
      <c r="E5" s="19">
        <v>1.0699999999999999E-2</v>
      </c>
      <c r="F5" s="18">
        <v>0.28999999999999998</v>
      </c>
      <c r="G5" s="18">
        <v>16940</v>
      </c>
      <c r="H5" s="19">
        <v>7.7999999999999996E-3</v>
      </c>
      <c r="I5" s="18">
        <v>130.79</v>
      </c>
      <c r="J5" s="18">
        <v>16178.11</v>
      </c>
      <c r="K5" s="19">
        <v>4.7100000000000003E-2</v>
      </c>
      <c r="L5" s="18">
        <v>761.89</v>
      </c>
      <c r="M5" t="s">
        <v>161</v>
      </c>
      <c r="N5" t="s">
        <v>83</v>
      </c>
      <c r="O5" t="s">
        <v>75</v>
      </c>
      <c r="P5" s="19">
        <v>1.4500000000000001E-2</v>
      </c>
      <c r="Q5" t="s">
        <v>93</v>
      </c>
    </row>
    <row r="6" spans="1:17" x14ac:dyDescent="0.45">
      <c r="A6" t="s">
        <v>16</v>
      </c>
      <c r="B6" t="s">
        <v>160</v>
      </c>
      <c r="C6">
        <v>906</v>
      </c>
      <c r="D6" s="18">
        <v>106.98</v>
      </c>
      <c r="E6" s="19">
        <v>3.8999999999999998E-3</v>
      </c>
      <c r="F6" s="18">
        <v>0.42</v>
      </c>
      <c r="G6" s="18">
        <v>96923.88</v>
      </c>
      <c r="H6" s="19">
        <v>2.8E-3</v>
      </c>
      <c r="I6" s="18">
        <v>266.55</v>
      </c>
      <c r="J6" s="18">
        <v>105432.18</v>
      </c>
      <c r="K6" s="19">
        <v>-8.0699999999999994E-2</v>
      </c>
      <c r="L6" s="18">
        <v>-8508.2999999999993</v>
      </c>
      <c r="M6" t="s">
        <v>75</v>
      </c>
      <c r="N6" t="s">
        <v>83</v>
      </c>
      <c r="O6" t="s">
        <v>75</v>
      </c>
      <c r="P6" s="19">
        <v>8.2799999999999999E-2</v>
      </c>
      <c r="Q6" t="s">
        <v>89</v>
      </c>
    </row>
    <row r="7" spans="1:17" x14ac:dyDescent="0.45">
      <c r="A7" t="s">
        <v>43</v>
      </c>
      <c r="B7" t="s">
        <v>91</v>
      </c>
      <c r="C7">
        <v>195</v>
      </c>
      <c r="D7" s="18">
        <v>63.27</v>
      </c>
      <c r="E7" s="19">
        <v>-1.3599999999999999E-2</v>
      </c>
      <c r="F7" s="18">
        <v>-0.87</v>
      </c>
      <c r="G7" s="18">
        <v>12337.65</v>
      </c>
      <c r="H7" s="19">
        <v>-1.3599999999999999E-2</v>
      </c>
      <c r="I7" s="18">
        <v>-169.65</v>
      </c>
      <c r="J7" s="18">
        <v>10955.82</v>
      </c>
      <c r="K7" s="19">
        <v>0.12609999999999999</v>
      </c>
      <c r="L7" s="18">
        <v>1381.83</v>
      </c>
      <c r="M7" t="s">
        <v>75</v>
      </c>
      <c r="N7" t="s">
        <v>83</v>
      </c>
      <c r="O7" t="s">
        <v>75</v>
      </c>
      <c r="P7" s="19">
        <v>1.0500000000000001E-2</v>
      </c>
      <c r="Q7" t="s">
        <v>89</v>
      </c>
    </row>
    <row r="8" spans="1:17" x14ac:dyDescent="0.45">
      <c r="A8" t="s">
        <v>0</v>
      </c>
      <c r="B8" t="s">
        <v>90</v>
      </c>
      <c r="C8">
        <v>470.28750000000002</v>
      </c>
      <c r="D8" s="18">
        <v>89.33</v>
      </c>
      <c r="E8" s="19">
        <v>1.6799999999999999E-2</v>
      </c>
      <c r="F8" s="18">
        <v>1.48</v>
      </c>
      <c r="G8" s="18">
        <v>42010.78</v>
      </c>
      <c r="H8" s="19">
        <v>1.5100000000000001E-2</v>
      </c>
      <c r="I8" s="18">
        <v>623.13</v>
      </c>
      <c r="J8" s="18">
        <v>37273.089999999997</v>
      </c>
      <c r="K8" s="19">
        <v>0.12709999999999999</v>
      </c>
      <c r="L8" s="18">
        <v>4737.6899999999996</v>
      </c>
      <c r="M8" t="s">
        <v>75</v>
      </c>
      <c r="N8" t="s">
        <v>83</v>
      </c>
      <c r="O8" t="s">
        <v>75</v>
      </c>
      <c r="P8" s="19">
        <v>3.5900000000000001E-2</v>
      </c>
      <c r="Q8" t="s">
        <v>89</v>
      </c>
    </row>
    <row r="9" spans="1:17" x14ac:dyDescent="0.45">
      <c r="A9" t="s">
        <v>85</v>
      </c>
      <c r="B9" t="s">
        <v>84</v>
      </c>
      <c r="C9" s="17">
        <v>26550.048999999999</v>
      </c>
      <c r="D9" s="18">
        <v>8.7899999999999991</v>
      </c>
      <c r="E9" s="19">
        <v>2.3E-3</v>
      </c>
      <c r="F9" s="18">
        <v>0.02</v>
      </c>
      <c r="G9" s="18">
        <v>233374.93</v>
      </c>
      <c r="H9" s="19">
        <v>2.0999999999999999E-3</v>
      </c>
      <c r="I9" s="18">
        <v>488.22</v>
      </c>
      <c r="J9" s="18">
        <v>254584.45</v>
      </c>
      <c r="K9" s="19">
        <v>-8.3299999999999999E-2</v>
      </c>
      <c r="L9" s="18">
        <v>-21209.52</v>
      </c>
      <c r="M9">
        <v>3</v>
      </c>
      <c r="N9" t="s">
        <v>83</v>
      </c>
      <c r="O9" t="s">
        <v>79</v>
      </c>
      <c r="P9" s="19">
        <v>0.19939999999999999</v>
      </c>
      <c r="Q9" t="s">
        <v>82</v>
      </c>
    </row>
    <row r="10" spans="1:17" x14ac:dyDescent="0.45">
      <c r="A10" t="s">
        <v>2</v>
      </c>
      <c r="B10" t="s">
        <v>141</v>
      </c>
      <c r="C10" s="17">
        <v>4533.1279999999997</v>
      </c>
      <c r="D10" s="18">
        <v>22.48</v>
      </c>
      <c r="E10" s="19">
        <v>-3.3500000000000002E-2</v>
      </c>
      <c r="F10" s="18">
        <v>-0.78</v>
      </c>
      <c r="G10" s="18">
        <v>101904.72</v>
      </c>
      <c r="H10" s="19">
        <v>-3.0499999999999999E-2</v>
      </c>
      <c r="I10" s="18">
        <v>-3210.02</v>
      </c>
      <c r="J10" s="18">
        <v>91516.84</v>
      </c>
      <c r="K10" s="19">
        <v>0.1135</v>
      </c>
      <c r="L10" s="18">
        <v>10387.879999999999</v>
      </c>
      <c r="M10">
        <v>3</v>
      </c>
      <c r="N10" t="s">
        <v>83</v>
      </c>
      <c r="O10" t="s">
        <v>79</v>
      </c>
      <c r="P10" s="19">
        <v>8.7099999999999997E-2</v>
      </c>
      <c r="Q10" t="s">
        <v>82</v>
      </c>
    </row>
    <row r="11" spans="1:17" x14ac:dyDescent="0.45">
      <c r="A11" t="s">
        <v>21</v>
      </c>
      <c r="B11" t="s">
        <v>140</v>
      </c>
      <c r="C11" s="17">
        <v>14007.589</v>
      </c>
      <c r="D11" s="18">
        <v>10.06</v>
      </c>
      <c r="E11" s="19">
        <v>2E-3</v>
      </c>
      <c r="F11" s="18">
        <v>0.02</v>
      </c>
      <c r="G11" s="18">
        <v>140916.35</v>
      </c>
      <c r="H11" s="19">
        <v>1.6999999999999999E-3</v>
      </c>
      <c r="I11" s="18">
        <v>242.77</v>
      </c>
      <c r="J11" s="18">
        <v>106276.46</v>
      </c>
      <c r="K11" s="19">
        <v>0.32590000000000002</v>
      </c>
      <c r="L11" s="18">
        <v>34639.89</v>
      </c>
      <c r="M11">
        <v>3</v>
      </c>
      <c r="N11" t="s">
        <v>83</v>
      </c>
      <c r="O11" t="s">
        <v>79</v>
      </c>
      <c r="P11" s="19">
        <v>0.12039999999999999</v>
      </c>
      <c r="Q11" t="s">
        <v>82</v>
      </c>
    </row>
    <row r="12" spans="1:17" x14ac:dyDescent="0.45">
      <c r="A12" t="s">
        <v>3</v>
      </c>
      <c r="B12" t="s">
        <v>139</v>
      </c>
      <c r="C12" s="17">
        <v>4768.116</v>
      </c>
      <c r="D12" s="18">
        <v>99.94</v>
      </c>
      <c r="E12" s="19">
        <v>1.11E-2</v>
      </c>
      <c r="F12" s="18">
        <v>1.1000000000000001</v>
      </c>
      <c r="G12" s="18">
        <v>476525.51</v>
      </c>
      <c r="H12" s="19">
        <v>1.11E-2</v>
      </c>
      <c r="I12" s="18">
        <v>5244.93</v>
      </c>
      <c r="J12" s="18">
        <v>235045.44</v>
      </c>
      <c r="K12" s="19">
        <v>1.0274000000000001</v>
      </c>
      <c r="L12" s="18">
        <v>241480.07</v>
      </c>
      <c r="M12">
        <v>3</v>
      </c>
      <c r="N12" t="s">
        <v>83</v>
      </c>
      <c r="O12" t="s">
        <v>79</v>
      </c>
      <c r="P12" s="19">
        <v>0.40720000000000001</v>
      </c>
      <c r="Q12" t="s">
        <v>82</v>
      </c>
    </row>
    <row r="13" spans="1:17" x14ac:dyDescent="0.45">
      <c r="A13" t="s">
        <v>47</v>
      </c>
      <c r="B13" t="s">
        <v>81</v>
      </c>
      <c r="C13" s="17">
        <v>23648.38</v>
      </c>
      <c r="D13" s="18">
        <v>1</v>
      </c>
      <c r="E13" t="s">
        <v>80</v>
      </c>
      <c r="F13" t="s">
        <v>80</v>
      </c>
      <c r="G13" s="18">
        <v>23648.38</v>
      </c>
      <c r="H13" t="s">
        <v>80</v>
      </c>
      <c r="I13" t="s">
        <v>80</v>
      </c>
      <c r="J13" s="18">
        <v>23648.38</v>
      </c>
      <c r="K13" s="40">
        <v>0</v>
      </c>
      <c r="L13" s="18">
        <v>0</v>
      </c>
      <c r="M13" t="s">
        <v>75</v>
      </c>
      <c r="N13" t="s">
        <v>79</v>
      </c>
      <c r="O13" t="s">
        <v>79</v>
      </c>
      <c r="P13" s="19">
        <v>2.0199999999999999E-2</v>
      </c>
      <c r="Q13" t="s">
        <v>77</v>
      </c>
    </row>
    <row r="14" spans="1:17" x14ac:dyDescent="0.45">
      <c r="A14" t="s">
        <v>78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25763.05</v>
      </c>
      <c r="H14" s="19">
        <v>-0.76117766630346895</v>
      </c>
      <c r="I14" s="18">
        <v>-82112.33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s="19">
        <v>2.1999999999999999E-2</v>
      </c>
      <c r="Q14" t="s">
        <v>77</v>
      </c>
    </row>
    <row r="15" spans="1:17" x14ac:dyDescent="0.45">
      <c r="A15" t="s">
        <v>76</v>
      </c>
      <c r="B15" t="s">
        <v>75</v>
      </c>
      <c r="C15" t="s">
        <v>75</v>
      </c>
      <c r="D15" t="s">
        <v>75</v>
      </c>
      <c r="E15" t="s">
        <v>75</v>
      </c>
      <c r="F15" t="s">
        <v>75</v>
      </c>
      <c r="G15" s="18">
        <v>1170345.25</v>
      </c>
      <c r="H15" s="19">
        <v>-6.2899999999999998E-2</v>
      </c>
      <c r="I15" s="18">
        <v>-78495.61</v>
      </c>
      <c r="J15" s="18">
        <v>880910.77</v>
      </c>
      <c r="K15" s="19">
        <v>0.29930000000000001</v>
      </c>
      <c r="L15" s="18">
        <v>263671.43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4"/>
  <sheetViews>
    <sheetView workbookViewId="0"/>
  </sheetViews>
  <sheetFormatPr defaultRowHeight="14.25" x14ac:dyDescent="0.45"/>
  <cols>
    <col min="2" max="2" width="34.3984375" customWidth="1"/>
    <col min="7" max="7" width="13.86328125" customWidth="1"/>
  </cols>
  <sheetData>
    <row r="1" spans="1:25" x14ac:dyDescent="0.45">
      <c r="A1" t="s">
        <v>127</v>
      </c>
    </row>
    <row r="3" spans="1:25" x14ac:dyDescent="0.45">
      <c r="A3" t="s">
        <v>119</v>
      </c>
      <c r="B3" t="s">
        <v>118</v>
      </c>
      <c r="C3" t="s">
        <v>117</v>
      </c>
      <c r="D3" t="s">
        <v>116</v>
      </c>
      <c r="E3" t="s">
        <v>115</v>
      </c>
      <c r="F3" t="s">
        <v>114</v>
      </c>
      <c r="G3" t="s">
        <v>113</v>
      </c>
      <c r="H3" t="s">
        <v>112</v>
      </c>
      <c r="I3" t="s">
        <v>111</v>
      </c>
      <c r="J3" t="s">
        <v>110</v>
      </c>
      <c r="K3" t="s">
        <v>109</v>
      </c>
      <c r="L3" t="s">
        <v>108</v>
      </c>
      <c r="M3" t="s">
        <v>107</v>
      </c>
      <c r="N3" t="s">
        <v>106</v>
      </c>
      <c r="O3" t="s">
        <v>105</v>
      </c>
      <c r="P3" t="s">
        <v>104</v>
      </c>
      <c r="Q3" t="s">
        <v>103</v>
      </c>
      <c r="R3" t="s">
        <v>102</v>
      </c>
      <c r="S3" t="s">
        <v>101</v>
      </c>
      <c r="T3" t="s">
        <v>100</v>
      </c>
      <c r="U3" t="s">
        <v>99</v>
      </c>
      <c r="V3" t="s">
        <v>98</v>
      </c>
      <c r="W3" t="s">
        <v>97</v>
      </c>
      <c r="X3" t="s">
        <v>96</v>
      </c>
      <c r="Y3" t="s">
        <v>95</v>
      </c>
    </row>
    <row r="4" spans="1:25" x14ac:dyDescent="0.45">
      <c r="A4" t="s">
        <v>15</v>
      </c>
      <c r="B4" t="s">
        <v>94</v>
      </c>
      <c r="C4">
        <v>448</v>
      </c>
      <c r="D4" s="18">
        <v>32.32</v>
      </c>
      <c r="E4" s="18">
        <v>0.84</v>
      </c>
      <c r="F4" s="19">
        <v>2.6700000000000002E-2</v>
      </c>
      <c r="G4" s="18">
        <v>14479.36</v>
      </c>
      <c r="H4" s="18">
        <v>376.32</v>
      </c>
      <c r="I4" s="19">
        <v>2.6700000000000002E-2</v>
      </c>
      <c r="J4" s="18">
        <v>11378.95</v>
      </c>
      <c r="K4" s="18">
        <v>3100.41</v>
      </c>
      <c r="L4" s="19">
        <v>0.27250000000000002</v>
      </c>
      <c r="M4" t="s">
        <v>83</v>
      </c>
      <c r="N4" t="s">
        <v>75</v>
      </c>
      <c r="O4" s="19">
        <v>1.44E-2</v>
      </c>
      <c r="P4" s="19">
        <v>2.1999999999999999E-2</v>
      </c>
      <c r="Q4" s="18">
        <v>0.18</v>
      </c>
      <c r="R4" s="5">
        <v>44896</v>
      </c>
      <c r="S4">
        <v>10.56</v>
      </c>
      <c r="T4" s="18">
        <v>27.37</v>
      </c>
      <c r="U4" s="18">
        <v>43.04</v>
      </c>
      <c r="V4">
        <v>556</v>
      </c>
      <c r="W4" t="s">
        <v>75</v>
      </c>
      <c r="X4" t="s">
        <v>75</v>
      </c>
      <c r="Y4" t="s">
        <v>93</v>
      </c>
    </row>
    <row r="5" spans="1:25" x14ac:dyDescent="0.45">
      <c r="A5" t="s">
        <v>16</v>
      </c>
      <c r="B5" t="s">
        <v>92</v>
      </c>
      <c r="C5">
        <v>633</v>
      </c>
      <c r="D5" s="18">
        <v>108.72</v>
      </c>
      <c r="E5" s="18">
        <v>-0.14000000000000001</v>
      </c>
      <c r="F5" s="19">
        <v>-1.2999999999999999E-3</v>
      </c>
      <c r="G5" s="18">
        <v>68819.759999999995</v>
      </c>
      <c r="H5" s="18">
        <v>-88.62</v>
      </c>
      <c r="I5" s="19">
        <v>-1.2999999999999999E-3</v>
      </c>
      <c r="J5" s="18">
        <v>76168.75</v>
      </c>
      <c r="K5" s="18">
        <v>-7348.99</v>
      </c>
      <c r="L5" s="19">
        <v>-9.6500000000000002E-2</v>
      </c>
      <c r="M5" t="s">
        <v>83</v>
      </c>
      <c r="N5" t="s">
        <v>75</v>
      </c>
      <c r="O5" s="19">
        <v>6.8400000000000002E-2</v>
      </c>
      <c r="P5" s="19">
        <v>2.9000000000000001E-2</v>
      </c>
      <c r="Q5" s="18">
        <v>0.34</v>
      </c>
      <c r="R5" s="5">
        <v>44896</v>
      </c>
      <c r="S5" t="s">
        <v>75</v>
      </c>
      <c r="T5" s="18">
        <v>98.41</v>
      </c>
      <c r="U5" s="18">
        <v>133.69999999999999</v>
      </c>
      <c r="V5" t="s">
        <v>80</v>
      </c>
      <c r="W5" t="s">
        <v>75</v>
      </c>
      <c r="X5" t="s">
        <v>75</v>
      </c>
      <c r="Y5" t="s">
        <v>89</v>
      </c>
    </row>
    <row r="6" spans="1:25" x14ac:dyDescent="0.45">
      <c r="A6" t="s">
        <v>43</v>
      </c>
      <c r="B6" t="s">
        <v>91</v>
      </c>
      <c r="C6">
        <v>195</v>
      </c>
      <c r="D6" s="18">
        <v>56.93</v>
      </c>
      <c r="E6" s="18">
        <v>0.24</v>
      </c>
      <c r="F6" s="19">
        <v>4.1999999999999997E-3</v>
      </c>
      <c r="G6" s="18">
        <v>11101.35</v>
      </c>
      <c r="H6" s="18">
        <v>46.8</v>
      </c>
      <c r="I6" s="19">
        <v>4.1999999999999997E-3</v>
      </c>
      <c r="J6" s="18">
        <v>10955.82</v>
      </c>
      <c r="K6" s="18">
        <v>145.53</v>
      </c>
      <c r="L6" s="19">
        <v>1.3299999999999999E-2</v>
      </c>
      <c r="M6" t="s">
        <v>83</v>
      </c>
      <c r="N6" t="s">
        <v>75</v>
      </c>
      <c r="O6" s="19">
        <v>1.0999999999999999E-2</v>
      </c>
      <c r="P6" s="19">
        <v>3.6999999999999998E-2</v>
      </c>
      <c r="Q6" s="18">
        <v>0.22</v>
      </c>
      <c r="R6" s="5">
        <v>44823</v>
      </c>
      <c r="S6" t="s">
        <v>75</v>
      </c>
      <c r="T6" s="18">
        <v>44.99</v>
      </c>
      <c r="U6" s="18">
        <v>69.38</v>
      </c>
      <c r="V6">
        <v>304</v>
      </c>
      <c r="W6" t="s">
        <v>75</v>
      </c>
      <c r="X6" t="s">
        <v>75</v>
      </c>
      <c r="Y6" t="s">
        <v>89</v>
      </c>
    </row>
    <row r="7" spans="1:25" x14ac:dyDescent="0.45">
      <c r="A7" t="s">
        <v>0</v>
      </c>
      <c r="B7" t="s">
        <v>90</v>
      </c>
      <c r="C7">
        <v>416.28750000000002</v>
      </c>
      <c r="D7" s="18">
        <v>86.49</v>
      </c>
      <c r="E7" s="18">
        <v>0.66</v>
      </c>
      <c r="F7" s="19">
        <v>7.7000000000000002E-3</v>
      </c>
      <c r="G7" s="18">
        <v>36004.71</v>
      </c>
      <c r="H7" s="18">
        <v>274.75</v>
      </c>
      <c r="I7" s="19">
        <v>7.7000000000000002E-3</v>
      </c>
      <c r="J7" s="18">
        <v>32537.11</v>
      </c>
      <c r="K7" s="18">
        <v>3467.6</v>
      </c>
      <c r="L7" s="19">
        <v>0.1066</v>
      </c>
      <c r="M7" t="s">
        <v>83</v>
      </c>
      <c r="N7" t="s">
        <v>75</v>
      </c>
      <c r="O7" s="19">
        <v>3.5799999999999998E-2</v>
      </c>
      <c r="P7" s="19">
        <v>3.5999999999999997E-2</v>
      </c>
      <c r="Q7" s="18">
        <v>0.92</v>
      </c>
      <c r="R7" s="5">
        <v>44827</v>
      </c>
      <c r="S7" t="s">
        <v>75</v>
      </c>
      <c r="T7" s="18">
        <v>74.66</v>
      </c>
      <c r="U7" s="18">
        <v>116.71</v>
      </c>
      <c r="V7">
        <v>240</v>
      </c>
      <c r="W7" t="s">
        <v>75</v>
      </c>
      <c r="X7" t="s">
        <v>75</v>
      </c>
      <c r="Y7" t="s">
        <v>89</v>
      </c>
    </row>
    <row r="8" spans="1:25" x14ac:dyDescent="0.45">
      <c r="A8" t="s">
        <v>2</v>
      </c>
      <c r="B8" t="s">
        <v>88</v>
      </c>
      <c r="C8" s="17">
        <v>4369.5990000000002</v>
      </c>
      <c r="D8" s="18">
        <v>20.56</v>
      </c>
      <c r="E8" s="18">
        <v>0.04</v>
      </c>
      <c r="F8" s="19">
        <v>1.9E-3</v>
      </c>
      <c r="G8" s="18">
        <v>89838.96</v>
      </c>
      <c r="H8" s="18">
        <v>174.78</v>
      </c>
      <c r="I8" s="19">
        <v>1.9E-3</v>
      </c>
      <c r="J8" s="18">
        <v>82126.84</v>
      </c>
      <c r="K8" s="18">
        <v>7712.12</v>
      </c>
      <c r="L8" s="19">
        <v>9.3899999999999997E-2</v>
      </c>
      <c r="M8" t="s">
        <v>83</v>
      </c>
      <c r="N8" t="s">
        <v>79</v>
      </c>
      <c r="O8" s="19">
        <v>8.9200000000000002E-2</v>
      </c>
      <c r="P8" t="s">
        <v>75</v>
      </c>
      <c r="Q8" t="s">
        <v>75</v>
      </c>
      <c r="R8" t="s">
        <v>75</v>
      </c>
      <c r="S8" t="s">
        <v>75</v>
      </c>
      <c r="T8" s="18">
        <v>17.05</v>
      </c>
      <c r="U8" s="18">
        <v>24.02</v>
      </c>
      <c r="V8" t="s">
        <v>75</v>
      </c>
      <c r="W8" t="s">
        <v>75</v>
      </c>
      <c r="X8" t="s">
        <v>75</v>
      </c>
      <c r="Y8" t="s">
        <v>82</v>
      </c>
    </row>
    <row r="9" spans="1:25" x14ac:dyDescent="0.45">
      <c r="A9" t="s">
        <v>3</v>
      </c>
      <c r="B9" t="s">
        <v>87</v>
      </c>
      <c r="C9" s="17">
        <v>5891.1959999999999</v>
      </c>
      <c r="D9" s="18">
        <v>67.67</v>
      </c>
      <c r="E9" s="18">
        <v>0.96</v>
      </c>
      <c r="F9" s="19">
        <v>1.44E-2</v>
      </c>
      <c r="G9" s="18">
        <v>398657.23</v>
      </c>
      <c r="H9" s="18">
        <v>5655.55</v>
      </c>
      <c r="I9" s="19">
        <v>1.44E-2</v>
      </c>
      <c r="J9" s="18">
        <v>235045.44</v>
      </c>
      <c r="K9" s="18">
        <v>163611.79</v>
      </c>
      <c r="L9" s="19">
        <v>0.69610000000000005</v>
      </c>
      <c r="M9" t="s">
        <v>83</v>
      </c>
      <c r="N9" t="s">
        <v>79</v>
      </c>
      <c r="O9" s="19">
        <v>0.39600000000000002</v>
      </c>
      <c r="P9" t="s">
        <v>75</v>
      </c>
      <c r="Q9" t="s">
        <v>75</v>
      </c>
      <c r="R9" t="s">
        <v>75</v>
      </c>
      <c r="S9" t="s">
        <v>75</v>
      </c>
      <c r="T9" s="18">
        <v>61.75</v>
      </c>
      <c r="U9" s="18">
        <v>82.78</v>
      </c>
      <c r="V9" t="s">
        <v>75</v>
      </c>
      <c r="W9" t="s">
        <v>75</v>
      </c>
      <c r="X9" t="s">
        <v>75</v>
      </c>
      <c r="Y9" t="s">
        <v>82</v>
      </c>
    </row>
    <row r="10" spans="1:25" x14ac:dyDescent="0.45">
      <c r="A10" t="s">
        <v>21</v>
      </c>
      <c r="B10" t="s">
        <v>86</v>
      </c>
      <c r="C10" s="17">
        <v>11261.788</v>
      </c>
      <c r="D10" s="18">
        <v>10.66</v>
      </c>
      <c r="E10" s="18">
        <v>0</v>
      </c>
      <c r="F10" s="40">
        <v>0</v>
      </c>
      <c r="G10" s="18">
        <v>120050.66</v>
      </c>
      <c r="H10" s="18">
        <v>0</v>
      </c>
      <c r="I10" s="40">
        <v>0</v>
      </c>
      <c r="J10" s="18">
        <v>87476.46</v>
      </c>
      <c r="K10" s="18">
        <v>32574.2</v>
      </c>
      <c r="L10" s="19">
        <v>0.37240000000000001</v>
      </c>
      <c r="M10" t="s">
        <v>83</v>
      </c>
      <c r="N10" t="s">
        <v>79</v>
      </c>
      <c r="O10" s="19">
        <v>0.1193</v>
      </c>
      <c r="P10" t="s">
        <v>75</v>
      </c>
      <c r="Q10" t="s">
        <v>75</v>
      </c>
      <c r="R10" t="s">
        <v>75</v>
      </c>
      <c r="S10" t="s">
        <v>75</v>
      </c>
      <c r="T10" s="18">
        <v>10.3</v>
      </c>
      <c r="U10" s="18">
        <v>12.63</v>
      </c>
      <c r="V10" t="s">
        <v>75</v>
      </c>
      <c r="W10" t="s">
        <v>75</v>
      </c>
      <c r="X10" t="s">
        <v>75</v>
      </c>
      <c r="Y10" t="s">
        <v>82</v>
      </c>
    </row>
    <row r="11" spans="1:25" x14ac:dyDescent="0.45">
      <c r="A11" t="s">
        <v>85</v>
      </c>
      <c r="B11" t="s">
        <v>84</v>
      </c>
      <c r="C11" s="17">
        <v>23511.483</v>
      </c>
      <c r="D11" s="18">
        <v>8.9700000000000006</v>
      </c>
      <c r="E11" s="18">
        <v>0</v>
      </c>
      <c r="F11" s="40">
        <v>0</v>
      </c>
      <c r="G11" s="18">
        <v>210898</v>
      </c>
      <c r="H11" s="18">
        <v>0</v>
      </c>
      <c r="I11" s="40">
        <v>0</v>
      </c>
      <c r="J11" s="18">
        <v>235784.45</v>
      </c>
      <c r="K11" s="18">
        <v>-24886.45</v>
      </c>
      <c r="L11" s="19">
        <v>-0.1055</v>
      </c>
      <c r="M11" t="s">
        <v>83</v>
      </c>
      <c r="N11" t="s">
        <v>79</v>
      </c>
      <c r="O11" s="19">
        <v>0.20949999999999999</v>
      </c>
      <c r="P11" t="s">
        <v>75</v>
      </c>
      <c r="Q11" t="s">
        <v>75</v>
      </c>
      <c r="R11" t="s">
        <v>75</v>
      </c>
      <c r="S11" t="s">
        <v>75</v>
      </c>
      <c r="T11" s="18">
        <v>8.49</v>
      </c>
      <c r="U11" s="18">
        <v>10.44</v>
      </c>
      <c r="V11" t="s">
        <v>75</v>
      </c>
      <c r="W11" t="s">
        <v>75</v>
      </c>
      <c r="X11" t="s">
        <v>75</v>
      </c>
      <c r="Y11" t="s">
        <v>82</v>
      </c>
    </row>
    <row r="12" spans="1:25" x14ac:dyDescent="0.45">
      <c r="A12" t="s">
        <v>47</v>
      </c>
      <c r="B12" t="s">
        <v>81</v>
      </c>
      <c r="C12" s="17">
        <v>21643.119999999999</v>
      </c>
      <c r="D12" s="18">
        <v>1</v>
      </c>
      <c r="E12" s="18">
        <v>0</v>
      </c>
      <c r="F12" s="40">
        <v>0</v>
      </c>
      <c r="G12" s="18">
        <v>21643.119999999999</v>
      </c>
      <c r="H12" s="18">
        <v>0</v>
      </c>
      <c r="I12" s="40">
        <v>0</v>
      </c>
      <c r="J12" s="18">
        <v>21643.119999999999</v>
      </c>
      <c r="K12" s="18">
        <v>0</v>
      </c>
      <c r="L12" s="40">
        <v>0</v>
      </c>
      <c r="M12" t="s">
        <v>79</v>
      </c>
      <c r="N12" t="s">
        <v>79</v>
      </c>
      <c r="O12" s="19">
        <v>2.1499999999999998E-2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77</v>
      </c>
    </row>
    <row r="13" spans="1:25" x14ac:dyDescent="0.45">
      <c r="A13" t="s">
        <v>78</v>
      </c>
      <c r="B13" t="s">
        <v>75</v>
      </c>
      <c r="C13" t="s">
        <v>75</v>
      </c>
      <c r="D13" t="s">
        <v>75</v>
      </c>
      <c r="E13" t="s">
        <v>75</v>
      </c>
      <c r="F13" t="s">
        <v>75</v>
      </c>
      <c r="G13" s="18">
        <v>35140.44</v>
      </c>
      <c r="H13" s="18">
        <v>0</v>
      </c>
      <c r="I13" s="40">
        <v>0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s="19">
        <v>3.49E-2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77</v>
      </c>
    </row>
    <row r="14" spans="1:25" x14ac:dyDescent="0.45">
      <c r="A14" t="s">
        <v>76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1006633.59</v>
      </c>
      <c r="H14" s="18">
        <v>6439.58</v>
      </c>
      <c r="I14" s="19">
        <v>6.4000000000000003E-3</v>
      </c>
      <c r="J14" s="18">
        <v>793116.94</v>
      </c>
      <c r="K14" s="18">
        <v>178376.21</v>
      </c>
      <c r="L14" s="19">
        <v>0.22489999999999999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5"/>
  <sheetViews>
    <sheetView workbookViewId="0">
      <selection activeCell="G15" sqref="G15"/>
    </sheetView>
  </sheetViews>
  <sheetFormatPr defaultRowHeight="14.25" x14ac:dyDescent="0.45"/>
  <cols>
    <col min="2" max="2" width="35.59765625" customWidth="1"/>
    <col min="7" max="7" width="17.265625" customWidth="1"/>
  </cols>
  <sheetData>
    <row r="1" spans="1:25" x14ac:dyDescent="0.45">
      <c r="A1" t="s">
        <v>123</v>
      </c>
    </row>
    <row r="3" spans="1:25" x14ac:dyDescent="0.45">
      <c r="A3" t="s">
        <v>122</v>
      </c>
    </row>
    <row r="4" spans="1:25" x14ac:dyDescent="0.45">
      <c r="A4" t="s">
        <v>119</v>
      </c>
      <c r="B4" t="s">
        <v>118</v>
      </c>
      <c r="C4" t="s">
        <v>117</v>
      </c>
      <c r="D4" t="s">
        <v>116</v>
      </c>
      <c r="E4" t="s">
        <v>115</v>
      </c>
      <c r="F4" t="s">
        <v>114</v>
      </c>
      <c r="G4" t="s">
        <v>113</v>
      </c>
      <c r="H4" t="s">
        <v>112</v>
      </c>
      <c r="I4" t="s">
        <v>111</v>
      </c>
      <c r="J4" t="s">
        <v>110</v>
      </c>
      <c r="K4" t="s">
        <v>109</v>
      </c>
      <c r="L4" t="s">
        <v>108</v>
      </c>
      <c r="M4" t="s">
        <v>107</v>
      </c>
      <c r="N4" t="s">
        <v>106</v>
      </c>
      <c r="O4" t="s">
        <v>105</v>
      </c>
      <c r="P4" t="s">
        <v>104</v>
      </c>
      <c r="Q4" t="s">
        <v>103</v>
      </c>
      <c r="R4" t="s">
        <v>102</v>
      </c>
      <c r="S4" t="s">
        <v>101</v>
      </c>
      <c r="T4" t="s">
        <v>100</v>
      </c>
      <c r="U4" t="s">
        <v>99</v>
      </c>
      <c r="V4" t="s">
        <v>98</v>
      </c>
      <c r="W4" t="s">
        <v>97</v>
      </c>
      <c r="X4" t="s">
        <v>96</v>
      </c>
      <c r="Y4" t="s">
        <v>95</v>
      </c>
    </row>
    <row r="5" spans="1:25" x14ac:dyDescent="0.45">
      <c r="A5" t="s">
        <v>15</v>
      </c>
      <c r="B5" t="s">
        <v>94</v>
      </c>
      <c r="C5">
        <v>400</v>
      </c>
      <c r="D5" s="18">
        <v>31.875</v>
      </c>
      <c r="E5" s="18">
        <v>0.21</v>
      </c>
      <c r="F5" s="19">
        <v>6.4999999999999997E-3</v>
      </c>
      <c r="G5" s="18">
        <v>12750</v>
      </c>
      <c r="H5" s="18">
        <v>82</v>
      </c>
      <c r="I5" s="19">
        <v>6.4999999999999997E-3</v>
      </c>
      <c r="J5" s="18">
        <v>9854.2000000000007</v>
      </c>
      <c r="K5" s="18">
        <v>2895.8</v>
      </c>
      <c r="L5" s="19">
        <v>0.29389999999999999</v>
      </c>
      <c r="M5" t="s">
        <v>83</v>
      </c>
      <c r="N5" t="s">
        <v>75</v>
      </c>
      <c r="O5" s="19">
        <v>1.2699999999999999E-2</v>
      </c>
      <c r="P5" s="19">
        <v>2.3E-2</v>
      </c>
      <c r="Q5" s="18">
        <v>0.18</v>
      </c>
      <c r="R5" s="5">
        <v>44896</v>
      </c>
      <c r="S5">
        <v>10.35</v>
      </c>
      <c r="T5" s="18">
        <v>27.37</v>
      </c>
      <c r="U5" s="18">
        <v>43.04</v>
      </c>
      <c r="V5" s="41">
        <v>1070847</v>
      </c>
      <c r="W5" t="s">
        <v>75</v>
      </c>
      <c r="X5" t="s">
        <v>75</v>
      </c>
      <c r="Y5" t="s">
        <v>93</v>
      </c>
    </row>
    <row r="6" spans="1:25" x14ac:dyDescent="0.45">
      <c r="A6" t="s">
        <v>16</v>
      </c>
      <c r="B6" t="s">
        <v>92</v>
      </c>
      <c r="C6">
        <v>620</v>
      </c>
      <c r="D6" s="18">
        <v>109.19499999999999</v>
      </c>
      <c r="E6" s="18">
        <v>-0.49</v>
      </c>
      <c r="F6" s="19">
        <v>-4.4000000000000003E-3</v>
      </c>
      <c r="G6" s="18">
        <v>67700.899999999994</v>
      </c>
      <c r="H6" s="18">
        <v>-300.7</v>
      </c>
      <c r="I6" s="19">
        <v>-4.4000000000000003E-3</v>
      </c>
      <c r="J6" s="18">
        <v>74749.990000000005</v>
      </c>
      <c r="K6" s="18">
        <v>-7049.09</v>
      </c>
      <c r="L6" s="19">
        <v>-9.4299999999999995E-2</v>
      </c>
      <c r="M6" t="s">
        <v>83</v>
      </c>
      <c r="N6" t="s">
        <v>75</v>
      </c>
      <c r="O6" s="19">
        <v>6.7299999999999999E-2</v>
      </c>
      <c r="P6" s="19">
        <v>2.9000000000000001E-2</v>
      </c>
      <c r="Q6" s="18">
        <v>0.34</v>
      </c>
      <c r="R6" s="5">
        <v>44896</v>
      </c>
      <c r="S6" t="s">
        <v>75</v>
      </c>
      <c r="T6" s="18">
        <v>98.41</v>
      </c>
      <c r="U6" s="18">
        <v>133.69999999999999</v>
      </c>
      <c r="V6" s="41">
        <v>12435194</v>
      </c>
      <c r="W6" t="s">
        <v>75</v>
      </c>
      <c r="X6" t="s">
        <v>75</v>
      </c>
      <c r="Y6" t="s">
        <v>89</v>
      </c>
    </row>
    <row r="7" spans="1:25" x14ac:dyDescent="0.45">
      <c r="A7" t="s">
        <v>43</v>
      </c>
      <c r="B7" t="s">
        <v>91</v>
      </c>
      <c r="C7">
        <v>195</v>
      </c>
      <c r="D7" s="18">
        <v>56.96</v>
      </c>
      <c r="E7" s="18">
        <v>0.27</v>
      </c>
      <c r="F7" s="19">
        <v>4.7999999999999996E-3</v>
      </c>
      <c r="G7" s="18">
        <v>11107.2</v>
      </c>
      <c r="H7" s="18">
        <v>52.65</v>
      </c>
      <c r="I7" s="19">
        <v>4.7999999999999996E-3</v>
      </c>
      <c r="J7" s="18">
        <v>10955.82</v>
      </c>
      <c r="K7" s="18">
        <v>151.38</v>
      </c>
      <c r="L7" s="19">
        <v>1.38E-2</v>
      </c>
      <c r="M7" t="s">
        <v>83</v>
      </c>
      <c r="N7" t="s">
        <v>75</v>
      </c>
      <c r="O7" s="19">
        <v>1.0999999999999999E-2</v>
      </c>
      <c r="P7" s="19">
        <v>3.6999999999999998E-2</v>
      </c>
      <c r="Q7" s="18">
        <v>0.22</v>
      </c>
      <c r="R7" s="5">
        <v>44823</v>
      </c>
      <c r="S7" t="s">
        <v>75</v>
      </c>
      <c r="T7" s="18">
        <v>44.99</v>
      </c>
      <c r="U7" s="18">
        <v>69.38</v>
      </c>
      <c r="V7" s="41">
        <v>2831008</v>
      </c>
      <c r="W7" t="s">
        <v>75</v>
      </c>
      <c r="X7" t="s">
        <v>75</v>
      </c>
      <c r="Y7" t="s">
        <v>89</v>
      </c>
    </row>
    <row r="8" spans="1:25" x14ac:dyDescent="0.45">
      <c r="A8" t="s">
        <v>0</v>
      </c>
      <c r="B8" t="s">
        <v>90</v>
      </c>
      <c r="C8">
        <v>363.28750000000002</v>
      </c>
      <c r="D8" s="18">
        <v>86.556299999999993</v>
      </c>
      <c r="E8" s="18">
        <v>0.56999999999999995</v>
      </c>
      <c r="F8" s="19">
        <v>6.6E-3</v>
      </c>
      <c r="G8" s="18">
        <v>31444.82</v>
      </c>
      <c r="H8" s="18">
        <v>205.73</v>
      </c>
      <c r="I8" s="19">
        <v>6.6E-3</v>
      </c>
      <c r="J8" s="18">
        <v>27966.12</v>
      </c>
      <c r="K8" s="18">
        <v>3478.7</v>
      </c>
      <c r="L8" s="19">
        <v>0.1244</v>
      </c>
      <c r="M8" t="s">
        <v>83</v>
      </c>
      <c r="N8" t="s">
        <v>75</v>
      </c>
      <c r="O8" s="19">
        <v>3.1199999999999999E-2</v>
      </c>
      <c r="P8" s="19">
        <v>3.5999999999999997E-2</v>
      </c>
      <c r="Q8" s="18">
        <v>0.92</v>
      </c>
      <c r="R8" s="5">
        <v>44827</v>
      </c>
      <c r="S8" t="s">
        <v>75</v>
      </c>
      <c r="T8" s="18">
        <v>74.66</v>
      </c>
      <c r="U8" s="18">
        <v>116.71</v>
      </c>
      <c r="V8" s="41">
        <v>3357808</v>
      </c>
      <c r="W8" t="s">
        <v>75</v>
      </c>
      <c r="X8" t="s">
        <v>75</v>
      </c>
      <c r="Y8" t="s">
        <v>89</v>
      </c>
    </row>
    <row r="9" spans="1:25" x14ac:dyDescent="0.45">
      <c r="A9" t="s">
        <v>2</v>
      </c>
      <c r="B9" t="s">
        <v>88</v>
      </c>
      <c r="C9" s="17">
        <v>4619.6480000000001</v>
      </c>
      <c r="D9" s="18">
        <v>20.49</v>
      </c>
      <c r="E9" t="s">
        <v>80</v>
      </c>
      <c r="F9" t="s">
        <v>80</v>
      </c>
      <c r="G9" s="18">
        <v>94656.59</v>
      </c>
      <c r="H9" t="s">
        <v>80</v>
      </c>
      <c r="I9" t="s">
        <v>80</v>
      </c>
      <c r="J9" s="18">
        <v>82126.84</v>
      </c>
      <c r="K9" s="18">
        <v>12529.75</v>
      </c>
      <c r="L9" s="19">
        <v>0.15260000000000001</v>
      </c>
      <c r="M9" t="s">
        <v>83</v>
      </c>
      <c r="N9" t="s">
        <v>79</v>
      </c>
      <c r="O9" s="19">
        <v>9.4100000000000003E-2</v>
      </c>
      <c r="P9" t="s">
        <v>75</v>
      </c>
      <c r="Q9" t="s">
        <v>75</v>
      </c>
      <c r="R9" t="s">
        <v>75</v>
      </c>
      <c r="S9" t="s">
        <v>75</v>
      </c>
      <c r="T9" s="18">
        <v>17.05</v>
      </c>
      <c r="U9" s="18">
        <v>24.07</v>
      </c>
      <c r="V9" t="s">
        <v>75</v>
      </c>
      <c r="W9" t="s">
        <v>75</v>
      </c>
      <c r="X9" t="s">
        <v>75</v>
      </c>
      <c r="Y9" t="s">
        <v>82</v>
      </c>
    </row>
    <row r="10" spans="1:25" x14ac:dyDescent="0.45">
      <c r="A10" t="s">
        <v>3</v>
      </c>
      <c r="B10" t="s">
        <v>87</v>
      </c>
      <c r="C10" s="17">
        <v>6030.5150000000003</v>
      </c>
      <c r="D10" s="18">
        <v>68.290000000000006</v>
      </c>
      <c r="E10" t="s">
        <v>80</v>
      </c>
      <c r="F10" t="s">
        <v>80</v>
      </c>
      <c r="G10" s="18">
        <v>411823.87</v>
      </c>
      <c r="H10" t="s">
        <v>80</v>
      </c>
      <c r="I10" t="s">
        <v>80</v>
      </c>
      <c r="J10" s="18">
        <v>235045.44</v>
      </c>
      <c r="K10" s="18">
        <v>176778.43</v>
      </c>
      <c r="L10" s="19">
        <v>0.75209999999999999</v>
      </c>
      <c r="M10" t="s">
        <v>83</v>
      </c>
      <c r="N10" t="s">
        <v>79</v>
      </c>
      <c r="O10" s="19">
        <v>0.40920000000000001</v>
      </c>
      <c r="P10" t="s">
        <v>75</v>
      </c>
      <c r="Q10" t="s">
        <v>75</v>
      </c>
      <c r="R10" t="s">
        <v>75</v>
      </c>
      <c r="S10" t="s">
        <v>75</v>
      </c>
      <c r="T10" s="18">
        <v>61.75</v>
      </c>
      <c r="U10" s="18">
        <v>82.78</v>
      </c>
      <c r="V10" t="s">
        <v>75</v>
      </c>
      <c r="W10" t="s">
        <v>75</v>
      </c>
      <c r="X10" t="s">
        <v>75</v>
      </c>
      <c r="Y10" t="s">
        <v>82</v>
      </c>
    </row>
    <row r="11" spans="1:25" x14ac:dyDescent="0.45">
      <c r="A11" t="s">
        <v>21</v>
      </c>
      <c r="B11" t="s">
        <v>86</v>
      </c>
      <c r="C11" s="17">
        <v>11050.69</v>
      </c>
      <c r="D11" s="18">
        <v>10.75</v>
      </c>
      <c r="E11" t="s">
        <v>80</v>
      </c>
      <c r="F11" t="s">
        <v>80</v>
      </c>
      <c r="G11" s="18">
        <v>118794.92</v>
      </c>
      <c r="H11" t="s">
        <v>80</v>
      </c>
      <c r="I11" t="s">
        <v>80</v>
      </c>
      <c r="J11" s="18">
        <v>87476.46</v>
      </c>
      <c r="K11" s="18">
        <v>31318.46</v>
      </c>
      <c r="L11" s="19">
        <v>0.35799999999999998</v>
      </c>
      <c r="M11" t="s">
        <v>83</v>
      </c>
      <c r="N11" t="s">
        <v>79</v>
      </c>
      <c r="O11" s="19">
        <v>0.11799999999999999</v>
      </c>
      <c r="P11" t="s">
        <v>75</v>
      </c>
      <c r="Q11" t="s">
        <v>75</v>
      </c>
      <c r="R11" t="s">
        <v>75</v>
      </c>
      <c r="S11" t="s">
        <v>75</v>
      </c>
      <c r="T11" s="18">
        <v>10.3</v>
      </c>
      <c r="U11" s="18">
        <v>12.63</v>
      </c>
      <c r="V11" t="s">
        <v>75</v>
      </c>
      <c r="W11" t="s">
        <v>75</v>
      </c>
      <c r="X11" t="s">
        <v>75</v>
      </c>
      <c r="Y11" t="s">
        <v>82</v>
      </c>
    </row>
    <row r="12" spans="1:25" x14ac:dyDescent="0.45">
      <c r="A12" t="s">
        <v>85</v>
      </c>
      <c r="B12" t="s">
        <v>84</v>
      </c>
      <c r="C12" s="17">
        <v>23093.366999999998</v>
      </c>
      <c r="D12" s="18">
        <v>9.0299999999999994</v>
      </c>
      <c r="E12" t="s">
        <v>80</v>
      </c>
      <c r="F12" t="s">
        <v>80</v>
      </c>
      <c r="G12" s="18">
        <v>208533.1</v>
      </c>
      <c r="H12" t="s">
        <v>80</v>
      </c>
      <c r="I12" t="s">
        <v>80</v>
      </c>
      <c r="J12" s="18">
        <v>235784.45</v>
      </c>
      <c r="K12" s="18">
        <v>-27251.35</v>
      </c>
      <c r="L12" s="19">
        <v>-0.11559999999999999</v>
      </c>
      <c r="M12" t="s">
        <v>83</v>
      </c>
      <c r="N12" t="s">
        <v>79</v>
      </c>
      <c r="O12" s="19">
        <v>0.2072</v>
      </c>
      <c r="P12" t="s">
        <v>75</v>
      </c>
      <c r="Q12" t="s">
        <v>75</v>
      </c>
      <c r="R12" t="s">
        <v>75</v>
      </c>
      <c r="S12" t="s">
        <v>75</v>
      </c>
      <c r="T12" s="18">
        <v>8.49</v>
      </c>
      <c r="U12" s="18">
        <v>10.44</v>
      </c>
      <c r="V12" t="s">
        <v>75</v>
      </c>
      <c r="W12" t="s">
        <v>75</v>
      </c>
      <c r="X12" t="s">
        <v>75</v>
      </c>
      <c r="Y12" t="s">
        <v>82</v>
      </c>
    </row>
    <row r="13" spans="1:25" x14ac:dyDescent="0.45">
      <c r="A13" t="s">
        <v>47</v>
      </c>
      <c r="B13" t="s">
        <v>81</v>
      </c>
      <c r="C13" s="17">
        <v>21643.119999999999</v>
      </c>
      <c r="D13" s="18">
        <v>1</v>
      </c>
      <c r="E13" t="s">
        <v>80</v>
      </c>
      <c r="F13" t="s">
        <v>80</v>
      </c>
      <c r="G13" s="18">
        <v>21643.119999999999</v>
      </c>
      <c r="H13" t="s">
        <v>80</v>
      </c>
      <c r="I13" t="s">
        <v>80</v>
      </c>
      <c r="J13" s="18">
        <v>21643.119999999999</v>
      </c>
      <c r="K13" s="18">
        <v>0</v>
      </c>
      <c r="L13" s="40">
        <v>0</v>
      </c>
      <c r="M13" t="s">
        <v>79</v>
      </c>
      <c r="N13" t="s">
        <v>79</v>
      </c>
      <c r="O13" s="19">
        <v>2.1499999999999998E-2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77</v>
      </c>
    </row>
    <row r="14" spans="1:25" x14ac:dyDescent="0.45">
      <c r="A14" t="s">
        <v>78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27870.36</v>
      </c>
      <c r="H14" s="18">
        <v>0</v>
      </c>
      <c r="I14" s="40">
        <v>0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s="19">
        <v>2.7699999999999999E-2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77</v>
      </c>
    </row>
    <row r="15" spans="1:25" x14ac:dyDescent="0.45">
      <c r="A15" t="s">
        <v>76</v>
      </c>
      <c r="B15" t="s">
        <v>75</v>
      </c>
      <c r="C15" t="s">
        <v>75</v>
      </c>
      <c r="D15" t="s">
        <v>75</v>
      </c>
      <c r="E15" t="s">
        <v>75</v>
      </c>
      <c r="F15" t="s">
        <v>75</v>
      </c>
      <c r="G15" s="18">
        <v>1006324.88</v>
      </c>
      <c r="H15" s="18">
        <v>39.68</v>
      </c>
      <c r="I15" s="40">
        <v>0</v>
      </c>
      <c r="J15" s="18">
        <v>785602.44</v>
      </c>
      <c r="K15" s="18">
        <v>192852.08</v>
      </c>
      <c r="L15" s="19">
        <v>0.2455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6"/>
  <sheetViews>
    <sheetView workbookViewId="0">
      <selection activeCell="B30" sqref="B30"/>
    </sheetView>
  </sheetViews>
  <sheetFormatPr defaultRowHeight="14.25" x14ac:dyDescent="0.45"/>
  <cols>
    <col min="1" max="1" width="50.1328125" customWidth="1"/>
    <col min="2" max="2" width="10.59765625" customWidth="1"/>
    <col min="3" max="3" width="6.59765625" customWidth="1"/>
    <col min="4" max="4" width="5.86328125" customWidth="1"/>
    <col min="5" max="5" width="10" customWidth="1"/>
    <col min="6" max="7" width="13.59765625" customWidth="1"/>
    <col min="8" max="8" width="5.86328125" customWidth="1"/>
    <col min="9" max="9" width="10.73046875" customWidth="1"/>
    <col min="10" max="10" width="13.59765625" customWidth="1"/>
    <col min="11" max="11" width="10.73046875" customWidth="1"/>
    <col min="12" max="12" width="13.59765625" customWidth="1"/>
    <col min="15" max="15" width="11.59765625" bestFit="1" customWidth="1"/>
    <col min="16" max="16" width="9.73046875" bestFit="1" customWidth="1"/>
  </cols>
  <sheetData>
    <row r="1" spans="1:17" x14ac:dyDescent="0.45">
      <c r="A1" s="22"/>
      <c r="B1" s="23">
        <v>44124</v>
      </c>
      <c r="C1" s="22">
        <v>2020</v>
      </c>
      <c r="D1" s="22" t="s">
        <v>54</v>
      </c>
      <c r="E1" s="23">
        <v>44363</v>
      </c>
      <c r="F1" s="23">
        <v>44363</v>
      </c>
      <c r="G1" s="23"/>
      <c r="H1" s="23"/>
      <c r="I1" s="23" t="s">
        <v>61</v>
      </c>
      <c r="J1" s="23" t="s">
        <v>62</v>
      </c>
      <c r="K1" s="23" t="s">
        <v>63</v>
      </c>
      <c r="L1" s="23" t="s">
        <v>64</v>
      </c>
      <c r="P1" s="5">
        <v>44708</v>
      </c>
    </row>
    <row r="2" spans="1:17" x14ac:dyDescent="0.45">
      <c r="A2" s="24" t="s">
        <v>23</v>
      </c>
      <c r="B2" s="25">
        <f>data!L23</f>
        <v>26321</v>
      </c>
      <c r="C2" s="25"/>
      <c r="D2" s="22"/>
      <c r="E2" s="26"/>
      <c r="F2" s="25">
        <f>data!M24</f>
        <v>9826.92</v>
      </c>
      <c r="G2" s="18">
        <v>28168.93</v>
      </c>
      <c r="H2" s="25"/>
      <c r="I2" s="38">
        <f>(G2-F2)/F2</f>
        <v>1.8665064944051648</v>
      </c>
      <c r="J2" s="25"/>
      <c r="K2" s="26"/>
      <c r="L2" s="18"/>
    </row>
    <row r="3" spans="1:17" x14ac:dyDescent="0.45">
      <c r="A3" s="24" t="s">
        <v>49</v>
      </c>
      <c r="B3" s="25"/>
      <c r="C3" s="25"/>
      <c r="D3" s="22"/>
      <c r="E3" s="26"/>
      <c r="F3" s="25">
        <f>data!L24</f>
        <v>21445.41</v>
      </c>
      <c r="G3" s="18">
        <v>21454.01</v>
      </c>
      <c r="H3" s="25"/>
      <c r="I3" s="38">
        <f>(G3-F3)/F3</f>
        <v>4.0101821322131609E-4</v>
      </c>
      <c r="J3" s="25"/>
      <c r="K3" s="26"/>
      <c r="L3" s="18"/>
    </row>
    <row r="4" spans="1:17" x14ac:dyDescent="0.45">
      <c r="A4" s="24" t="s">
        <v>4</v>
      </c>
      <c r="B4" s="25">
        <f>data!K23</f>
        <v>25708.13</v>
      </c>
      <c r="C4" s="25"/>
      <c r="D4" s="22"/>
      <c r="E4" s="22"/>
      <c r="F4" s="25">
        <f>data!K24</f>
        <v>25457.73</v>
      </c>
      <c r="G4" s="25">
        <v>0</v>
      </c>
      <c r="H4" s="25"/>
      <c r="I4" s="38"/>
      <c r="J4" s="25"/>
      <c r="K4" s="22"/>
    </row>
    <row r="5" spans="1:17" x14ac:dyDescent="0.45">
      <c r="A5" s="27" t="s">
        <v>25</v>
      </c>
      <c r="B5" s="25">
        <f>B4+B2</f>
        <v>52029.130000000005</v>
      </c>
      <c r="C5" s="28">
        <f>B5/$B$24</f>
        <v>4.7695554815466099E-2</v>
      </c>
      <c r="D5" s="29">
        <v>0.05</v>
      </c>
      <c r="E5" s="30">
        <v>4.7580529289676446E-2</v>
      </c>
      <c r="F5" s="25">
        <f>F2+F3+F4</f>
        <v>56730.06</v>
      </c>
      <c r="G5" s="25">
        <f>SUM(G2:G4)</f>
        <v>49622.94</v>
      </c>
      <c r="H5" s="35">
        <f>G5/G25</f>
        <v>4.7412244985938594E-2</v>
      </c>
      <c r="I5" s="38">
        <f>(G5-F5)/F5</f>
        <v>-0.12527961366513618</v>
      </c>
      <c r="J5" s="25">
        <f>0.05*J25</f>
        <v>52331.354500000009</v>
      </c>
      <c r="K5" s="32">
        <f>J5-G5</f>
        <v>2708.4145000000062</v>
      </c>
      <c r="L5" s="19"/>
    </row>
    <row r="6" spans="1:17" x14ac:dyDescent="0.45">
      <c r="A6" s="22"/>
      <c r="B6" s="22"/>
      <c r="C6" s="22"/>
      <c r="D6" s="22"/>
      <c r="E6" s="30"/>
      <c r="F6" s="22"/>
      <c r="G6" s="22"/>
      <c r="H6" s="36"/>
      <c r="I6" s="38"/>
      <c r="J6" s="22"/>
      <c r="K6" s="32"/>
      <c r="L6" s="19"/>
    </row>
    <row r="7" spans="1:17" x14ac:dyDescent="0.45">
      <c r="A7" s="24" t="s">
        <v>26</v>
      </c>
      <c r="B7" s="25">
        <f>data!H23</f>
        <v>441311.35</v>
      </c>
      <c r="C7" s="25"/>
      <c r="D7" s="24"/>
      <c r="E7" s="30"/>
      <c r="F7" s="25">
        <f>data!H24</f>
        <v>516114.52</v>
      </c>
      <c r="G7" s="18">
        <v>439041.65</v>
      </c>
      <c r="H7" s="35"/>
      <c r="I7" s="38">
        <f>(G7-F7)/F7</f>
        <v>-0.14933288449237969</v>
      </c>
      <c r="J7" s="25"/>
      <c r="K7" s="32" t="s">
        <v>65</v>
      </c>
      <c r="L7" s="18">
        <v>69.430000000000007</v>
      </c>
      <c r="M7" s="8"/>
    </row>
    <row r="8" spans="1:17" x14ac:dyDescent="0.45">
      <c r="A8" s="27" t="s">
        <v>27</v>
      </c>
      <c r="B8" s="25">
        <f>B7</f>
        <v>441311.35</v>
      </c>
      <c r="C8" s="28">
        <f>B8/$B$24</f>
        <v>0.40455394285109786</v>
      </c>
      <c r="D8" s="29">
        <v>0.4</v>
      </c>
      <c r="E8" s="30">
        <v>0.43287460009186141</v>
      </c>
      <c r="F8" s="25">
        <f>F7</f>
        <v>516114.52</v>
      </c>
      <c r="G8" s="25">
        <f>G7</f>
        <v>439041.65</v>
      </c>
      <c r="H8" s="35">
        <f>G8/G25</f>
        <v>0.41948240609747639</v>
      </c>
      <c r="I8" s="38">
        <f>(G8-F8)/F8</f>
        <v>-0.14933288449237969</v>
      </c>
      <c r="J8" s="25">
        <f>0.4*J25</f>
        <v>418650.83600000007</v>
      </c>
      <c r="K8" s="32">
        <f>J8-G8</f>
        <v>-20390.813999999955</v>
      </c>
      <c r="L8" s="19"/>
      <c r="M8">
        <f>K8/L7</f>
        <v>-293.68880887224475</v>
      </c>
      <c r="N8" t="s">
        <v>66</v>
      </c>
      <c r="O8" s="18"/>
      <c r="Q8" s="21"/>
    </row>
    <row r="9" spans="1:17" x14ac:dyDescent="0.45">
      <c r="A9" s="22"/>
      <c r="B9" s="12"/>
      <c r="C9" s="12"/>
      <c r="D9" s="13"/>
      <c r="E9" s="30"/>
      <c r="F9" s="12"/>
      <c r="G9" s="12"/>
      <c r="H9" s="37"/>
      <c r="I9" s="38"/>
      <c r="J9" s="12"/>
      <c r="K9" s="32"/>
      <c r="L9" s="19"/>
    </row>
    <row r="10" spans="1:17" x14ac:dyDescent="0.45">
      <c r="A10" s="24" t="s">
        <v>57</v>
      </c>
      <c r="B10" s="25">
        <f>data!G23</f>
        <v>109792.49</v>
      </c>
      <c r="C10" s="25"/>
      <c r="D10" s="24"/>
      <c r="E10" s="30"/>
      <c r="F10" s="25">
        <f>data!G24</f>
        <v>114105.31</v>
      </c>
      <c r="G10" s="18">
        <v>96365.86</v>
      </c>
      <c r="H10" s="35"/>
      <c r="I10" s="38">
        <f>(G10-F10)/F10</f>
        <v>-0.15546559577288732</v>
      </c>
      <c r="J10" s="25"/>
      <c r="K10" s="32"/>
      <c r="L10" s="19"/>
    </row>
    <row r="11" spans="1:17" x14ac:dyDescent="0.45">
      <c r="A11" s="24" t="s">
        <v>60</v>
      </c>
      <c r="B11" s="25" t="s">
        <v>51</v>
      </c>
      <c r="C11" s="25"/>
      <c r="D11" s="24"/>
      <c r="E11" s="30"/>
      <c r="F11" s="25"/>
      <c r="G11" s="25"/>
      <c r="H11" s="35"/>
      <c r="I11" s="38"/>
      <c r="J11" s="25"/>
      <c r="K11" s="32"/>
      <c r="L11" s="19"/>
    </row>
    <row r="12" spans="1:17" x14ac:dyDescent="0.45">
      <c r="A12" s="24" t="s">
        <v>50</v>
      </c>
      <c r="B12" s="25"/>
      <c r="C12" s="25"/>
      <c r="D12" s="24"/>
      <c r="E12" s="30"/>
      <c r="F12" s="25">
        <f>data!E24</f>
        <v>13720.2</v>
      </c>
      <c r="G12" s="18">
        <v>11658.08</v>
      </c>
      <c r="H12" s="35"/>
      <c r="I12" s="38">
        <f>(G12-F12)/F12</f>
        <v>-0.15029810061077831</v>
      </c>
      <c r="J12" s="25"/>
      <c r="K12" s="32"/>
      <c r="L12" s="19"/>
    </row>
    <row r="13" spans="1:17" x14ac:dyDescent="0.45">
      <c r="A13" s="27" t="s">
        <v>29</v>
      </c>
      <c r="B13" s="25">
        <f>B10</f>
        <v>109792.49</v>
      </c>
      <c r="C13" s="28">
        <f>B13/$B$24</f>
        <v>0.10064772801546966</v>
      </c>
      <c r="D13" s="29">
        <v>0.1</v>
      </c>
      <c r="E13" s="30">
        <v>0.10720957147802822</v>
      </c>
      <c r="F13" s="25">
        <f>F12+F10</f>
        <v>127825.51</v>
      </c>
      <c r="G13" s="25">
        <f>SUM(G10:G12)</f>
        <v>108023.94</v>
      </c>
      <c r="H13" s="35">
        <f>G13/G25</f>
        <v>0.10321148863058761</v>
      </c>
      <c r="I13" s="38">
        <f>(G13-F13)/F13</f>
        <v>-0.15491094070346359</v>
      </c>
      <c r="J13" s="25">
        <f>0.1*J25</f>
        <v>104662.70900000002</v>
      </c>
      <c r="K13" s="32">
        <f>J13-G13</f>
        <v>-3361.2309999999852</v>
      </c>
      <c r="L13" s="19" t="s">
        <v>67</v>
      </c>
      <c r="P13" s="8"/>
    </row>
    <row r="14" spans="1:17" x14ac:dyDescent="0.45">
      <c r="A14" s="22"/>
      <c r="B14" s="12"/>
      <c r="C14" s="12"/>
      <c r="D14" s="13"/>
      <c r="E14" s="30"/>
      <c r="F14" s="12"/>
      <c r="G14" s="12"/>
      <c r="H14" s="37"/>
      <c r="I14" s="38"/>
      <c r="J14" s="12"/>
      <c r="K14" s="32"/>
      <c r="L14" s="19"/>
    </row>
    <row r="15" spans="1:17" x14ac:dyDescent="0.45">
      <c r="A15" s="24" t="s">
        <v>59</v>
      </c>
      <c r="B15" s="25">
        <f>data!J23</f>
        <v>249825.8</v>
      </c>
      <c r="C15" s="25"/>
      <c r="D15" s="24"/>
      <c r="E15" s="30"/>
      <c r="F15" s="25">
        <f>data!J24</f>
        <v>242249.42</v>
      </c>
      <c r="G15" s="18">
        <v>218001.38</v>
      </c>
      <c r="H15" s="35"/>
      <c r="I15" s="38">
        <f>(G15-F15)/F15</f>
        <v>-0.10009534800950197</v>
      </c>
      <c r="J15" s="25"/>
      <c r="K15" s="32"/>
      <c r="L15" s="19"/>
    </row>
    <row r="16" spans="1:17" x14ac:dyDescent="0.45">
      <c r="A16" s="24" t="s">
        <v>58</v>
      </c>
      <c r="B16" s="25">
        <f>data!D23</f>
        <v>85857.600000000006</v>
      </c>
      <c r="C16" s="25"/>
      <c r="D16" s="24"/>
      <c r="E16" s="30"/>
      <c r="F16" s="25">
        <f>data!D24</f>
        <v>82633.600000000006</v>
      </c>
      <c r="G16" s="18">
        <v>71358.899999999994</v>
      </c>
      <c r="H16" s="35"/>
      <c r="I16" s="38">
        <f>(G16-F16)/F16</f>
        <v>-0.13644207683073242</v>
      </c>
      <c r="J16" s="25"/>
      <c r="K16" s="32"/>
      <c r="L16" s="19"/>
    </row>
    <row r="17" spans="1:17" x14ac:dyDescent="0.45">
      <c r="A17" s="24" t="s">
        <v>32</v>
      </c>
      <c r="B17" s="25">
        <f>data!I23</f>
        <v>95462.58</v>
      </c>
      <c r="C17" s="25"/>
      <c r="D17" s="24"/>
      <c r="E17" s="30"/>
      <c r="F17" s="25">
        <f>data!I24</f>
        <v>97011.98</v>
      </c>
      <c r="G17" s="18">
        <v>90997.56</v>
      </c>
      <c r="H17" s="35"/>
      <c r="I17" s="38">
        <f>(G17-F17)/F17</f>
        <v>-6.1996672988222673E-2</v>
      </c>
      <c r="J17" s="25"/>
      <c r="K17" s="32"/>
      <c r="L17" s="18">
        <v>11.69</v>
      </c>
    </row>
    <row r="18" spans="1:17" x14ac:dyDescent="0.45">
      <c r="A18" s="27" t="s">
        <v>33</v>
      </c>
      <c r="B18" s="25">
        <f>SUM(B15:B17)</f>
        <v>431145.98000000004</v>
      </c>
      <c r="C18" s="28">
        <f>B18/$B$24</f>
        <v>0.3952352599891224</v>
      </c>
      <c r="D18" s="29">
        <v>0.4</v>
      </c>
      <c r="E18" s="30">
        <v>0.35385098137862087</v>
      </c>
      <c r="F18" s="25">
        <f>SUM(F15:F17)</f>
        <v>421895</v>
      </c>
      <c r="G18" s="25">
        <f>SUM(G15:G17)</f>
        <v>380357.84</v>
      </c>
      <c r="H18" s="35">
        <f>G18/G25</f>
        <v>0.36341295159864434</v>
      </c>
      <c r="I18" s="38">
        <f>(G18-F18)/F18</f>
        <v>-9.8453785894594567E-2</v>
      </c>
      <c r="J18" s="25">
        <f>0.4*J25</f>
        <v>418650.83600000007</v>
      </c>
      <c r="K18" s="32">
        <f>J18-G18</f>
        <v>38292.996000000043</v>
      </c>
      <c r="L18" s="19"/>
      <c r="M18">
        <f>K18/L17</f>
        <v>3275.7053892215608</v>
      </c>
      <c r="N18" t="s">
        <v>73</v>
      </c>
    </row>
    <row r="19" spans="1:17" x14ac:dyDescent="0.45">
      <c r="A19" s="22"/>
      <c r="B19" s="12"/>
      <c r="C19" s="12"/>
      <c r="D19" s="13"/>
      <c r="E19" s="30"/>
      <c r="F19" s="12"/>
      <c r="G19" s="12"/>
      <c r="H19" s="37"/>
      <c r="I19" s="38"/>
      <c r="J19" s="12"/>
      <c r="K19" s="32"/>
      <c r="L19" s="19"/>
    </row>
    <row r="20" spans="1:17" x14ac:dyDescent="0.45">
      <c r="A20" s="24" t="s">
        <v>34</v>
      </c>
      <c r="B20" s="25">
        <f>data!F23</f>
        <v>44964.15</v>
      </c>
      <c r="C20" s="25"/>
      <c r="D20" s="24"/>
      <c r="E20" s="30"/>
      <c r="F20" s="25">
        <f>data!F24</f>
        <v>55862.6</v>
      </c>
      <c r="G20" s="18">
        <v>53582.28</v>
      </c>
      <c r="H20" s="35"/>
      <c r="I20" s="38">
        <f>(G20-F20)/F20</f>
        <v>-4.0820155166426189E-2</v>
      </c>
      <c r="J20" s="25"/>
      <c r="K20" s="32"/>
      <c r="L20" s="18">
        <v>100.1</v>
      </c>
    </row>
    <row r="21" spans="1:17" x14ac:dyDescent="0.45">
      <c r="A21" s="24" t="s">
        <v>35</v>
      </c>
      <c r="B21" s="25">
        <f>data!C23</f>
        <v>11616</v>
      </c>
      <c r="C21" s="25"/>
      <c r="D21" s="24"/>
      <c r="E21" s="30"/>
      <c r="F21" s="25">
        <f>data!C24</f>
        <v>13868</v>
      </c>
      <c r="G21" s="18">
        <v>15998.44</v>
      </c>
      <c r="H21" s="35"/>
      <c r="I21" s="38">
        <f>(G21-F21)/F21</f>
        <v>0.15362272858379006</v>
      </c>
      <c r="J21" s="25"/>
      <c r="K21" s="32"/>
      <c r="L21" s="19"/>
    </row>
    <row r="22" spans="1:17" x14ac:dyDescent="0.45">
      <c r="A22" s="27" t="s">
        <v>36</v>
      </c>
      <c r="B22" s="25">
        <f>B20+B21</f>
        <v>56580.15</v>
      </c>
      <c r="C22" s="28">
        <f>B22/$B$24</f>
        <v>5.1867514328844129E-2</v>
      </c>
      <c r="D22" s="29">
        <v>0.05</v>
      </c>
      <c r="E22" s="30">
        <v>5.8484317761812926E-2</v>
      </c>
      <c r="F22" s="25">
        <f>F20+F21</f>
        <v>69730.600000000006</v>
      </c>
      <c r="G22" s="25">
        <f>SUM(G20:G21)</f>
        <v>69580.72</v>
      </c>
      <c r="H22" s="35">
        <f>G22/G25</f>
        <v>6.6480908687352999E-2</v>
      </c>
      <c r="I22" s="38">
        <f>(G22-F22)/F22</f>
        <v>-2.1494150344325827E-3</v>
      </c>
      <c r="J22" s="25">
        <f>0.05*J25</f>
        <v>52331.354500000009</v>
      </c>
      <c r="K22" s="32">
        <f>J22-G22</f>
        <v>-17249.365499999993</v>
      </c>
      <c r="L22" s="19"/>
      <c r="M22">
        <f>K22/L20</f>
        <v>-172.3213336663336</v>
      </c>
      <c r="N22" t="s">
        <v>66</v>
      </c>
    </row>
    <row r="23" spans="1:17" x14ac:dyDescent="0.45">
      <c r="A23" s="22"/>
      <c r="B23" s="12"/>
      <c r="C23" s="12"/>
      <c r="D23" s="13"/>
      <c r="E23" s="22"/>
      <c r="F23" s="12"/>
      <c r="G23" s="12"/>
      <c r="H23" s="12"/>
      <c r="I23" s="38"/>
      <c r="J23" s="39">
        <f>SUM(J5:J22)</f>
        <v>1046627.0900000002</v>
      </c>
      <c r="K23" s="22"/>
    </row>
    <row r="24" spans="1:17" x14ac:dyDescent="0.45">
      <c r="A24" s="24" t="s">
        <v>53</v>
      </c>
      <c r="B24" s="25">
        <f>B5+B8+B13+B18+B22</f>
        <v>1090859.0999999999</v>
      </c>
      <c r="C24" s="31">
        <f>C5+C8+C13+C18+C22</f>
        <v>1</v>
      </c>
      <c r="D24" s="31">
        <f>D5+D8+D13+D18+D22</f>
        <v>1</v>
      </c>
      <c r="E24" s="30">
        <v>0.99999999999999989</v>
      </c>
      <c r="F24" s="25">
        <f>F5+F8+F13+F18+F22</f>
        <v>1192295.6900000002</v>
      </c>
      <c r="G24" s="25">
        <f>G2+G3+G7+G10+G12+G15+G16+G17+G20+G21</f>
        <v>1046627.0900000001</v>
      </c>
      <c r="H24" s="25"/>
      <c r="I24" s="38">
        <f>(G24-F24)/F24</f>
        <v>-0.12217489438379171</v>
      </c>
      <c r="J24" s="25"/>
      <c r="K24" s="30"/>
      <c r="P24" s="8"/>
      <c r="Q24" s="8"/>
    </row>
    <row r="25" spans="1:17" x14ac:dyDescent="0.45">
      <c r="A25" s="24" t="s">
        <v>52</v>
      </c>
      <c r="B25" s="25"/>
      <c r="C25" s="31"/>
      <c r="D25" s="31"/>
      <c r="E25" s="31"/>
      <c r="F25" s="25">
        <f>data!N24</f>
        <v>1192295.69</v>
      </c>
      <c r="G25" s="25">
        <f>G22+G18+G13+G8+G5</f>
        <v>1046627.0900000001</v>
      </c>
      <c r="H25" s="25"/>
      <c r="I25" s="38">
        <f>(G25-F25)/F25</f>
        <v>-0.12217489438379155</v>
      </c>
      <c r="J25" s="25">
        <v>1046627.0900000001</v>
      </c>
      <c r="K25" s="22"/>
      <c r="P25" s="8"/>
      <c r="Q25" s="8"/>
    </row>
    <row r="26" spans="1:17" x14ac:dyDescent="0.45">
      <c r="A26" s="24"/>
      <c r="B26" s="25"/>
      <c r="C26" s="31"/>
      <c r="D26" s="31"/>
      <c r="E26" s="31"/>
      <c r="F26" s="25"/>
      <c r="G26" s="25"/>
      <c r="H26" s="25"/>
      <c r="I26" s="25"/>
      <c r="J26" s="25"/>
      <c r="K26" s="22"/>
      <c r="P26" s="8"/>
      <c r="Q26" s="8"/>
    </row>
    <row r="27" spans="1:17" x14ac:dyDescent="0.45">
      <c r="A27" s="24" t="s">
        <v>45</v>
      </c>
      <c r="B27" s="25"/>
      <c r="C27" s="31"/>
      <c r="D27" s="31"/>
      <c r="E27" s="31"/>
      <c r="F27" s="32"/>
      <c r="G27" s="32"/>
      <c r="H27" s="32"/>
      <c r="I27" s="32"/>
      <c r="J27" s="32"/>
      <c r="K27" s="32">
        <f>K22+K18+K13+K8</f>
        <v>-2708.4144999998898</v>
      </c>
      <c r="P27" s="8"/>
      <c r="Q27" s="8"/>
    </row>
    <row r="28" spans="1:17" x14ac:dyDescent="0.45">
      <c r="A28" s="24" t="s">
        <v>44</v>
      </c>
      <c r="B28" s="32">
        <v>39339</v>
      </c>
      <c r="C28" s="32"/>
      <c r="D28" s="22"/>
      <c r="E28" s="22"/>
      <c r="F28" s="33">
        <v>27593.45</v>
      </c>
      <c r="G28" s="33"/>
      <c r="H28" s="33"/>
      <c r="I28" s="33"/>
      <c r="J28" s="33"/>
      <c r="K28" s="32">
        <f>G5-K27</f>
        <v>52331.354499999892</v>
      </c>
    </row>
    <row r="29" spans="1:17" x14ac:dyDescent="0.45">
      <c r="A29" s="24" t="s">
        <v>46</v>
      </c>
      <c r="B29" s="32">
        <v>1391</v>
      </c>
      <c r="C29" s="32"/>
      <c r="D29" s="22"/>
      <c r="E29" s="22"/>
      <c r="F29" s="26">
        <v>8414.92</v>
      </c>
      <c r="G29" s="26"/>
      <c r="H29" s="26"/>
      <c r="I29" s="26"/>
      <c r="J29" s="26"/>
      <c r="K29" s="22">
        <f>K28/J25</f>
        <v>4.9999999999999892E-2</v>
      </c>
      <c r="L29" t="s">
        <v>74</v>
      </c>
    </row>
    <row r="30" spans="1:17" x14ac:dyDescent="0.45">
      <c r="A30" s="22" t="s">
        <v>39</v>
      </c>
      <c r="B30" s="32">
        <f>B24+B28+B29</f>
        <v>1131589.0999999999</v>
      </c>
      <c r="C30" s="32"/>
      <c r="D30" s="22"/>
      <c r="E30" s="22"/>
      <c r="F30" s="26">
        <f>F25+F28+F29</f>
        <v>1228304.0599999998</v>
      </c>
      <c r="G30" s="26"/>
      <c r="H30" s="26"/>
      <c r="I30" s="26"/>
      <c r="J30" s="26"/>
      <c r="K30" s="22"/>
    </row>
    <row r="31" spans="1:17" x14ac:dyDescent="0.4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7" x14ac:dyDescent="0.45">
      <c r="A32" s="22" t="s">
        <v>56</v>
      </c>
      <c r="B32" s="32">
        <v>988735</v>
      </c>
      <c r="C32" s="22"/>
      <c r="D32" s="22"/>
      <c r="E32" s="22"/>
      <c r="F32" s="32">
        <f>B32</f>
        <v>988735</v>
      </c>
      <c r="G32" s="32"/>
      <c r="H32" s="32"/>
      <c r="I32" s="32"/>
      <c r="J32" s="32"/>
      <c r="K32" s="22" t="s">
        <v>68</v>
      </c>
      <c r="M32" t="s">
        <v>69</v>
      </c>
      <c r="N32" t="s">
        <v>70</v>
      </c>
    </row>
    <row r="33" spans="1:15" x14ac:dyDescent="0.45">
      <c r="A33" s="22" t="s">
        <v>55</v>
      </c>
      <c r="B33" s="32">
        <f>B30-B32</f>
        <v>142854.09999999986</v>
      </c>
      <c r="C33" s="34"/>
      <c r="D33" s="22"/>
      <c r="E33" s="22"/>
      <c r="F33" s="26">
        <f>F30-F32</f>
        <v>239569.05999999982</v>
      </c>
      <c r="G33" s="26"/>
      <c r="H33" s="26"/>
      <c r="I33" s="26"/>
      <c r="J33" s="26"/>
      <c r="K33" s="22" t="s">
        <v>65</v>
      </c>
      <c r="L33">
        <v>-293.68880887224475</v>
      </c>
      <c r="M33" s="18">
        <v>69.430000000000007</v>
      </c>
      <c r="N33" s="32">
        <v>-20390.813999999955</v>
      </c>
      <c r="O33" s="18">
        <f>L33*M33</f>
        <v>-20390.813999999955</v>
      </c>
    </row>
    <row r="34" spans="1:15" x14ac:dyDescent="0.45">
      <c r="C34" s="19"/>
      <c r="K34" t="s">
        <v>71</v>
      </c>
      <c r="L34">
        <v>3275.7053892215608</v>
      </c>
      <c r="M34" s="18">
        <v>11.69</v>
      </c>
      <c r="N34" s="32">
        <v>38292.996000000043</v>
      </c>
      <c r="O34" s="18">
        <f>L34*M34</f>
        <v>38292.996000000043</v>
      </c>
    </row>
    <row r="35" spans="1:15" x14ac:dyDescent="0.45">
      <c r="K35" s="22" t="s">
        <v>72</v>
      </c>
      <c r="L35">
        <v>-172.321333666334</v>
      </c>
      <c r="M35" s="18">
        <v>100.1</v>
      </c>
      <c r="N35" s="32">
        <v>-17249.365499999993</v>
      </c>
      <c r="O35" s="18">
        <f>L35*M35</f>
        <v>-17249.365500000033</v>
      </c>
    </row>
    <row r="36" spans="1:15" x14ac:dyDescent="0.45">
      <c r="N36" s="8">
        <f>SUM(N33:N35)</f>
        <v>652.8165000000954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topLeftCell="A4" workbookViewId="0">
      <selection activeCell="G33" sqref="G33"/>
    </sheetView>
  </sheetViews>
  <sheetFormatPr defaultRowHeight="14.25" x14ac:dyDescent="0.45"/>
  <cols>
    <col min="1" max="1" width="58.1328125" customWidth="1"/>
    <col min="2" max="2" width="11.3984375" customWidth="1"/>
  </cols>
  <sheetData>
    <row r="1" spans="1:10" x14ac:dyDescent="0.45">
      <c r="A1" s="7" t="s">
        <v>23</v>
      </c>
      <c r="B1" s="9">
        <f>data!L21</f>
        <v>21246</v>
      </c>
      <c r="C1" s="9"/>
    </row>
    <row r="2" spans="1:10" x14ac:dyDescent="0.45">
      <c r="A2" s="7" t="s">
        <v>24</v>
      </c>
      <c r="B2" s="9">
        <f>data!K21</f>
        <v>25905</v>
      </c>
      <c r="C2" s="9"/>
    </row>
    <row r="3" spans="1:10" x14ac:dyDescent="0.45">
      <c r="A3" s="10" t="s">
        <v>25</v>
      </c>
      <c r="B3" s="9">
        <f>B2+B1</f>
        <v>47151</v>
      </c>
      <c r="C3" s="14">
        <f>B3/$B$21</f>
        <v>4.8914109061107623E-2</v>
      </c>
      <c r="D3" s="11">
        <v>0.05</v>
      </c>
    </row>
    <row r="5" spans="1:10" x14ac:dyDescent="0.45">
      <c r="A5" s="7" t="s">
        <v>26</v>
      </c>
      <c r="B5" s="9">
        <f>data!H21</f>
        <v>389712</v>
      </c>
      <c r="C5" s="9"/>
      <c r="D5" s="7"/>
    </row>
    <row r="6" spans="1:10" x14ac:dyDescent="0.45">
      <c r="A6" s="10" t="s">
        <v>27</v>
      </c>
      <c r="B6" s="9">
        <f>B5</f>
        <v>389712</v>
      </c>
      <c r="C6" s="14">
        <f>B6/$B$21</f>
        <v>0.40428443236458134</v>
      </c>
      <c r="D6" s="11">
        <v>0.4</v>
      </c>
    </row>
    <row r="7" spans="1:10" x14ac:dyDescent="0.45">
      <c r="B7" s="12"/>
      <c r="C7" s="12"/>
      <c r="D7" s="13"/>
    </row>
    <row r="8" spans="1:10" x14ac:dyDescent="0.45">
      <c r="A8" s="7" t="s">
        <v>28</v>
      </c>
      <c r="B8" s="9">
        <v>89623</v>
      </c>
      <c r="C8" s="9"/>
      <c r="D8" s="7"/>
    </row>
    <row r="9" spans="1:10" x14ac:dyDescent="0.45">
      <c r="A9" s="7" t="s">
        <v>42</v>
      </c>
      <c r="B9" s="9">
        <v>9508</v>
      </c>
      <c r="C9" s="9"/>
      <c r="D9" s="7"/>
    </row>
    <row r="10" spans="1:10" x14ac:dyDescent="0.45">
      <c r="A10" s="10" t="s">
        <v>29</v>
      </c>
      <c r="B10" s="9">
        <f>B8+B9</f>
        <v>99131</v>
      </c>
      <c r="C10" s="14">
        <f>B10/$B$21</f>
        <v>0.10283778807101991</v>
      </c>
      <c r="D10" s="11">
        <v>0.1</v>
      </c>
      <c r="J10" s="8"/>
    </row>
    <row r="11" spans="1:10" x14ac:dyDescent="0.45">
      <c r="B11" s="12"/>
      <c r="C11" s="12"/>
      <c r="D11" s="13"/>
    </row>
    <row r="12" spans="1:10" x14ac:dyDescent="0.45">
      <c r="A12" s="7" t="s">
        <v>30</v>
      </c>
      <c r="B12" s="9">
        <f>data!J21</f>
        <v>215950</v>
      </c>
      <c r="C12" s="9"/>
      <c r="D12" s="7"/>
    </row>
    <row r="13" spans="1:10" x14ac:dyDescent="0.45">
      <c r="A13" s="7" t="s">
        <v>31</v>
      </c>
      <c r="B13" s="9">
        <f>data!D21</f>
        <v>81852</v>
      </c>
      <c r="C13" s="9"/>
      <c r="D13" s="7"/>
    </row>
    <row r="14" spans="1:10" x14ac:dyDescent="0.45">
      <c r="A14" s="7" t="s">
        <v>32</v>
      </c>
      <c r="B14" s="9">
        <f>data!I21</f>
        <v>80636</v>
      </c>
      <c r="C14" s="9"/>
      <c r="D14" s="7"/>
    </row>
    <row r="15" spans="1:10" x14ac:dyDescent="0.45">
      <c r="A15" s="10" t="s">
        <v>33</v>
      </c>
      <c r="B15" s="9">
        <f>SUM(B12:B14)</f>
        <v>378438</v>
      </c>
      <c r="C15" s="14">
        <f>B15/$B$21</f>
        <v>0.3925888656628162</v>
      </c>
      <c r="D15" s="11">
        <v>0.4</v>
      </c>
    </row>
    <row r="16" spans="1:10" x14ac:dyDescent="0.45">
      <c r="B16" s="12"/>
      <c r="C16" s="12"/>
      <c r="D16" s="13"/>
    </row>
    <row r="17" spans="1:11" x14ac:dyDescent="0.45">
      <c r="A17" s="7" t="s">
        <v>34</v>
      </c>
      <c r="B17" s="9">
        <f>data!F21</f>
        <v>41447</v>
      </c>
      <c r="C17" s="9"/>
      <c r="D17" s="7"/>
    </row>
    <row r="18" spans="1:11" x14ac:dyDescent="0.45">
      <c r="A18" s="7" t="s">
        <v>35</v>
      </c>
      <c r="B18" s="9">
        <f>data!C21</f>
        <v>8076</v>
      </c>
      <c r="C18" s="9"/>
      <c r="D18" s="7"/>
    </row>
    <row r="19" spans="1:11" x14ac:dyDescent="0.45">
      <c r="A19" s="10" t="s">
        <v>36</v>
      </c>
      <c r="B19" s="9">
        <f>B17+B18</f>
        <v>49523</v>
      </c>
      <c r="C19" s="14">
        <f>B19/$B$21</f>
        <v>5.1374804840474915E-2</v>
      </c>
      <c r="D19" s="11">
        <v>0.05</v>
      </c>
    </row>
    <row r="20" spans="1:11" x14ac:dyDescent="0.45">
      <c r="B20" s="12"/>
      <c r="C20" s="12"/>
      <c r="D20" s="13"/>
    </row>
    <row r="21" spans="1:11" x14ac:dyDescent="0.45">
      <c r="A21" s="7" t="s">
        <v>37</v>
      </c>
      <c r="B21" s="9">
        <f>B3+B6+B10+B15+B19</f>
        <v>963955</v>
      </c>
      <c r="C21" s="15">
        <f t="shared" ref="C21:D21" si="0">C3+C6+C10+C15+C19</f>
        <v>1</v>
      </c>
      <c r="D21" s="15">
        <f t="shared" si="0"/>
        <v>1</v>
      </c>
      <c r="E21" s="8"/>
      <c r="J21" s="8"/>
      <c r="K21" s="8"/>
    </row>
    <row r="22" spans="1:11" x14ac:dyDescent="0.45">
      <c r="C22" s="8"/>
    </row>
    <row r="23" spans="1:11" x14ac:dyDescent="0.45">
      <c r="A23" t="s">
        <v>39</v>
      </c>
      <c r="B23" s="8">
        <f>B21+15910+8870</f>
        <v>988735</v>
      </c>
      <c r="C23" s="8">
        <f>B23-B21</f>
        <v>24780</v>
      </c>
    </row>
    <row r="25" spans="1:11" x14ac:dyDescent="0.45">
      <c r="A25" t="s">
        <v>41</v>
      </c>
      <c r="B25" s="8">
        <v>980090</v>
      </c>
    </row>
    <row r="26" spans="1:11" x14ac:dyDescent="0.45">
      <c r="A26" t="s">
        <v>40</v>
      </c>
      <c r="B26" s="8">
        <f>B23-B25</f>
        <v>8645</v>
      </c>
      <c r="C26" s="1">
        <f>B26/B25</f>
        <v>8.8206185146262085E-3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2"/>
  <sheetViews>
    <sheetView workbookViewId="0">
      <selection activeCell="B29" sqref="B29"/>
    </sheetView>
  </sheetViews>
  <sheetFormatPr defaultRowHeight="14.25" x14ac:dyDescent="0.45"/>
  <cols>
    <col min="1" max="1" width="50.1328125" customWidth="1"/>
    <col min="2" max="2" width="16.3984375" customWidth="1"/>
    <col min="3" max="3" width="6.59765625" customWidth="1"/>
    <col min="4" max="4" width="5.86328125" customWidth="1"/>
    <col min="5" max="5" width="10" customWidth="1"/>
    <col min="6" max="7" width="13.59765625" customWidth="1"/>
    <col min="8" max="8" width="5.86328125" customWidth="1"/>
    <col min="9" max="9" width="10.73046875" customWidth="1"/>
    <col min="10" max="10" width="13.59765625" customWidth="1"/>
    <col min="11" max="11" width="10.73046875" customWidth="1"/>
    <col min="12" max="12" width="13.59765625" customWidth="1"/>
    <col min="15" max="15" width="11.59765625" bestFit="1" customWidth="1"/>
    <col min="16" max="16" width="9.73046875" bestFit="1" customWidth="1"/>
  </cols>
  <sheetData>
    <row r="1" spans="1:17" x14ac:dyDescent="0.45">
      <c r="A1" s="22"/>
      <c r="B1" s="23">
        <v>44907</v>
      </c>
      <c r="C1" s="22">
        <v>2022</v>
      </c>
      <c r="D1" s="22" t="s">
        <v>54</v>
      </c>
      <c r="E1" s="23"/>
      <c r="F1" s="23"/>
      <c r="G1" s="23"/>
      <c r="H1" s="23"/>
      <c r="I1" s="23"/>
      <c r="J1" s="23"/>
      <c r="K1" s="23"/>
      <c r="L1" s="23"/>
      <c r="P1" s="5">
        <v>44708</v>
      </c>
    </row>
    <row r="2" spans="1:17" x14ac:dyDescent="0.45">
      <c r="A2" s="24" t="s">
        <v>129</v>
      </c>
      <c r="B2" s="25">
        <f>data!M27</f>
        <v>35140.44</v>
      </c>
      <c r="C2" s="25"/>
      <c r="D2" s="22"/>
      <c r="E2" s="26"/>
      <c r="F2" s="25"/>
      <c r="G2" s="18"/>
      <c r="H2" s="25"/>
      <c r="I2" s="38"/>
      <c r="J2" s="25"/>
      <c r="K2" s="26"/>
      <c r="L2" s="18"/>
    </row>
    <row r="3" spans="1:17" x14ac:dyDescent="0.45">
      <c r="A3" s="24" t="s">
        <v>49</v>
      </c>
      <c r="B3" s="25">
        <f>data!L27</f>
        <v>21643.119999999999</v>
      </c>
      <c r="C3" s="25"/>
      <c r="D3" s="22"/>
      <c r="E3" s="26"/>
      <c r="F3" s="25"/>
      <c r="G3" s="18"/>
      <c r="H3" s="25"/>
      <c r="I3" s="38"/>
      <c r="J3" s="25"/>
      <c r="K3" s="26"/>
      <c r="L3" s="18"/>
    </row>
    <row r="4" spans="1:17" x14ac:dyDescent="0.45">
      <c r="A4" s="24" t="s">
        <v>4</v>
      </c>
      <c r="B4" s="25">
        <v>0</v>
      </c>
      <c r="C4" s="25"/>
      <c r="D4" s="22"/>
      <c r="E4" s="22"/>
      <c r="F4" s="25"/>
      <c r="G4" s="25"/>
      <c r="H4" s="25"/>
      <c r="I4" s="38"/>
      <c r="J4" s="25"/>
      <c r="K4" s="22"/>
    </row>
    <row r="5" spans="1:17" x14ac:dyDescent="0.45">
      <c r="A5" s="27" t="s">
        <v>25</v>
      </c>
      <c r="B5" s="25">
        <f>B2+B3+B4</f>
        <v>56783.56</v>
      </c>
      <c r="C5" s="28">
        <f>B5/$B$23</f>
        <v>5.6409363410970616E-2</v>
      </c>
      <c r="D5" s="29">
        <v>0.05</v>
      </c>
      <c r="E5" s="30"/>
      <c r="F5" s="25"/>
      <c r="G5" s="25"/>
      <c r="H5" s="35"/>
      <c r="I5" s="38"/>
      <c r="J5" s="25"/>
      <c r="K5" s="32"/>
      <c r="L5" s="19"/>
    </row>
    <row r="6" spans="1:17" x14ac:dyDescent="0.45">
      <c r="A6" s="22"/>
      <c r="B6" s="22"/>
      <c r="C6" s="22"/>
      <c r="D6" s="22"/>
      <c r="E6" s="30"/>
      <c r="F6" s="22"/>
      <c r="G6" s="22"/>
      <c r="H6" s="36"/>
      <c r="I6" s="38"/>
      <c r="J6" s="22"/>
      <c r="K6" s="32"/>
      <c r="L6" s="19"/>
    </row>
    <row r="7" spans="1:17" x14ac:dyDescent="0.45">
      <c r="A7" s="24" t="s">
        <v>26</v>
      </c>
      <c r="B7" s="25">
        <f>data!H27</f>
        <v>398657.23</v>
      </c>
      <c r="C7" s="25"/>
      <c r="D7" s="24"/>
      <c r="E7" s="30"/>
      <c r="F7" s="25"/>
      <c r="G7" s="18"/>
      <c r="H7" s="35"/>
      <c r="I7" s="38"/>
      <c r="J7" s="25"/>
      <c r="K7" s="32"/>
      <c r="L7" s="18"/>
      <c r="M7" s="8"/>
    </row>
    <row r="8" spans="1:17" x14ac:dyDescent="0.45">
      <c r="A8" s="27" t="s">
        <v>27</v>
      </c>
      <c r="B8" s="25">
        <f>B7</f>
        <v>398657.23</v>
      </c>
      <c r="C8" s="28">
        <f>B8/$B$23</f>
        <v>0.39603012849988445</v>
      </c>
      <c r="D8" s="29">
        <v>0.4</v>
      </c>
      <c r="E8" s="30"/>
      <c r="F8" s="25"/>
      <c r="G8" s="25"/>
      <c r="H8" s="35"/>
      <c r="I8" s="38"/>
      <c r="J8" s="25"/>
      <c r="K8" s="32"/>
      <c r="L8" s="19"/>
      <c r="O8" s="18"/>
      <c r="Q8" s="21"/>
    </row>
    <row r="9" spans="1:17" x14ac:dyDescent="0.45">
      <c r="A9" s="22"/>
      <c r="B9" s="12"/>
      <c r="C9" s="12"/>
      <c r="D9" s="13"/>
      <c r="E9" s="30"/>
      <c r="F9" s="12"/>
      <c r="G9" s="12"/>
      <c r="H9" s="37"/>
      <c r="I9" s="38"/>
      <c r="J9" s="12"/>
      <c r="K9" s="32"/>
      <c r="L9" s="19"/>
    </row>
    <row r="10" spans="1:17" x14ac:dyDescent="0.45">
      <c r="A10" s="24" t="s">
        <v>57</v>
      </c>
      <c r="B10" s="25">
        <f>data!G27</f>
        <v>89838.96</v>
      </c>
      <c r="C10" s="25"/>
      <c r="D10" s="24"/>
      <c r="E10" s="30"/>
      <c r="F10" s="25"/>
      <c r="G10" s="18"/>
      <c r="H10" s="35"/>
      <c r="I10" s="38"/>
      <c r="J10" s="25"/>
      <c r="K10" s="32"/>
      <c r="L10" s="19"/>
    </row>
    <row r="11" spans="1:17" x14ac:dyDescent="0.45">
      <c r="A11" s="24" t="s">
        <v>50</v>
      </c>
      <c r="B11" s="25">
        <f>data!E27</f>
        <v>11101.35</v>
      </c>
      <c r="C11" s="25"/>
      <c r="D11" s="24"/>
      <c r="E11" s="30"/>
      <c r="F11" s="25"/>
      <c r="G11" s="18"/>
      <c r="H11" s="35"/>
      <c r="I11" s="38"/>
      <c r="J11" s="25"/>
      <c r="K11" s="32"/>
      <c r="L11" s="19"/>
    </row>
    <row r="12" spans="1:17" x14ac:dyDescent="0.45">
      <c r="A12" s="27" t="s">
        <v>29</v>
      </c>
      <c r="B12" s="25">
        <f>B10+B11</f>
        <v>100940.31000000001</v>
      </c>
      <c r="C12" s="28">
        <f>B12/$B$23</f>
        <v>0.10027512592739928</v>
      </c>
      <c r="D12" s="29">
        <v>0.1</v>
      </c>
      <c r="E12" s="30"/>
      <c r="F12" s="25"/>
      <c r="G12" s="25"/>
      <c r="H12" s="35"/>
      <c r="I12" s="38"/>
      <c r="J12" s="25"/>
      <c r="K12" s="32"/>
      <c r="L12" s="19"/>
      <c r="P12" s="8"/>
    </row>
    <row r="13" spans="1:17" x14ac:dyDescent="0.45">
      <c r="A13" s="22"/>
      <c r="B13" s="12"/>
      <c r="C13" s="12"/>
      <c r="D13" s="13"/>
      <c r="E13" s="30"/>
      <c r="F13" s="12"/>
      <c r="G13" s="12"/>
      <c r="H13" s="37"/>
      <c r="I13" s="38"/>
      <c r="J13" s="12"/>
      <c r="K13" s="32"/>
      <c r="L13" s="19"/>
    </row>
    <row r="14" spans="1:17" x14ac:dyDescent="0.45">
      <c r="A14" s="24" t="s">
        <v>59</v>
      </c>
      <c r="B14" s="25">
        <f>data!J27</f>
        <v>210898</v>
      </c>
      <c r="C14" s="25"/>
      <c r="D14" s="24"/>
      <c r="E14" s="30"/>
      <c r="F14" s="25"/>
      <c r="G14" s="18"/>
      <c r="H14" s="35"/>
      <c r="I14" s="38"/>
      <c r="J14" s="25"/>
      <c r="K14" s="32"/>
      <c r="L14" s="19"/>
    </row>
    <row r="15" spans="1:17" x14ac:dyDescent="0.45">
      <c r="A15" s="24" t="s">
        <v>58</v>
      </c>
      <c r="B15" s="25">
        <f>data!D27</f>
        <v>68819.759999999995</v>
      </c>
      <c r="C15" s="25"/>
      <c r="D15" s="24"/>
      <c r="E15" s="30"/>
      <c r="F15" s="25"/>
      <c r="G15" s="18"/>
      <c r="H15" s="35"/>
      <c r="I15" s="38"/>
      <c r="J15" s="25"/>
      <c r="K15" s="32"/>
      <c r="L15" s="19"/>
    </row>
    <row r="16" spans="1:17" x14ac:dyDescent="0.45">
      <c r="A16" s="24" t="s">
        <v>32</v>
      </c>
      <c r="B16" s="25">
        <f>data!I27</f>
        <v>120050.66</v>
      </c>
      <c r="C16" s="25"/>
      <c r="D16" s="24"/>
      <c r="E16" s="30"/>
      <c r="F16" s="25"/>
      <c r="G16" s="18"/>
      <c r="H16" s="35"/>
      <c r="I16" s="38"/>
      <c r="J16" s="25"/>
      <c r="K16" s="32"/>
      <c r="L16" s="18"/>
    </row>
    <row r="17" spans="1:17" x14ac:dyDescent="0.45">
      <c r="A17" s="27" t="s">
        <v>33</v>
      </c>
      <c r="B17" s="25">
        <f>SUM(B14:B16)</f>
        <v>399768.42000000004</v>
      </c>
      <c r="C17" s="28">
        <f>B17/$B$23</f>
        <v>0.39713399589616322</v>
      </c>
      <c r="D17" s="29">
        <v>0.4</v>
      </c>
      <c r="E17" s="30"/>
      <c r="F17" s="25"/>
      <c r="G17" s="25"/>
      <c r="H17" s="35"/>
      <c r="I17" s="38"/>
      <c r="J17" s="25"/>
      <c r="K17" s="32"/>
      <c r="L17" s="19"/>
    </row>
    <row r="18" spans="1:17" x14ac:dyDescent="0.45">
      <c r="A18" s="22"/>
      <c r="B18" s="12"/>
      <c r="C18" s="12"/>
      <c r="D18" s="13"/>
      <c r="E18" s="30"/>
      <c r="F18" s="12"/>
      <c r="G18" s="12"/>
      <c r="H18" s="37"/>
      <c r="I18" s="38"/>
      <c r="J18" s="12"/>
      <c r="K18" s="32"/>
      <c r="L18" s="19"/>
    </row>
    <row r="19" spans="1:17" x14ac:dyDescent="0.45">
      <c r="A19" s="24" t="s">
        <v>34</v>
      </c>
      <c r="B19" s="25">
        <f>data!F27</f>
        <v>36004.71</v>
      </c>
      <c r="C19" s="25"/>
      <c r="D19" s="24"/>
      <c r="E19" s="30"/>
      <c r="F19" s="25"/>
      <c r="G19" s="18"/>
      <c r="H19" s="35"/>
      <c r="I19" s="38"/>
      <c r="J19" s="25"/>
      <c r="K19" s="32"/>
      <c r="L19" s="18"/>
    </row>
    <row r="20" spans="1:17" x14ac:dyDescent="0.45">
      <c r="A20" s="24" t="s">
        <v>35</v>
      </c>
      <c r="B20" s="25">
        <f>data!C27</f>
        <v>14479.36</v>
      </c>
      <c r="C20" s="25"/>
      <c r="D20" s="24"/>
      <c r="E20" s="30"/>
      <c r="F20" s="25"/>
      <c r="G20" s="18"/>
      <c r="H20" s="35"/>
      <c r="I20" s="38"/>
      <c r="J20" s="25"/>
      <c r="K20" s="32"/>
      <c r="L20" s="19"/>
    </row>
    <row r="21" spans="1:17" x14ac:dyDescent="0.45">
      <c r="A21" s="27" t="s">
        <v>36</v>
      </c>
      <c r="B21" s="25">
        <f>B19+B20</f>
        <v>50484.07</v>
      </c>
      <c r="C21" s="28">
        <f>B21/$B$23</f>
        <v>5.0151386265582493E-2</v>
      </c>
      <c r="D21" s="29">
        <v>0.05</v>
      </c>
      <c r="E21" s="30"/>
      <c r="F21" s="25"/>
      <c r="G21" s="25"/>
      <c r="H21" s="35"/>
      <c r="I21" s="38"/>
      <c r="J21" s="25"/>
      <c r="K21" s="32"/>
      <c r="L21" s="19"/>
    </row>
    <row r="22" spans="1:17" x14ac:dyDescent="0.45">
      <c r="A22" s="22"/>
      <c r="B22" s="12"/>
      <c r="C22" s="12"/>
      <c r="D22" s="13"/>
      <c r="E22" s="22"/>
      <c r="F22" s="12"/>
      <c r="G22" s="12"/>
      <c r="H22" s="12"/>
      <c r="I22" s="38"/>
      <c r="J22" s="39"/>
      <c r="K22" s="22"/>
    </row>
    <row r="23" spans="1:17" x14ac:dyDescent="0.45">
      <c r="A23" s="24" t="s">
        <v>53</v>
      </c>
      <c r="B23" s="25">
        <f>B5+B8+B12+B17+B21</f>
        <v>1006633.59</v>
      </c>
      <c r="C23" s="31">
        <f>C5+C8+C12+C17+C21</f>
        <v>1</v>
      </c>
      <c r="D23" s="31">
        <f>D5+D8+D12+D17+D21</f>
        <v>1</v>
      </c>
      <c r="E23" s="30"/>
      <c r="F23" s="25"/>
      <c r="G23" s="25"/>
      <c r="H23" s="25"/>
      <c r="I23" s="38"/>
      <c r="J23" s="25"/>
      <c r="K23" s="30"/>
      <c r="P23" s="8"/>
      <c r="Q23" s="8"/>
    </row>
    <row r="24" spans="1:17" x14ac:dyDescent="0.45">
      <c r="A24" s="24" t="s">
        <v>52</v>
      </c>
      <c r="B24" s="25"/>
      <c r="C24" s="31"/>
      <c r="D24" s="31"/>
      <c r="E24" s="31"/>
      <c r="F24" s="25"/>
      <c r="G24" s="25"/>
      <c r="H24" s="25"/>
      <c r="I24" s="38"/>
      <c r="J24" s="25"/>
      <c r="K24" s="22"/>
      <c r="P24" s="8"/>
      <c r="Q24" s="8"/>
    </row>
    <row r="25" spans="1:17" x14ac:dyDescent="0.45">
      <c r="A25" s="24"/>
      <c r="B25" s="25"/>
      <c r="C25" s="31"/>
      <c r="D25" s="31"/>
      <c r="E25" s="31"/>
      <c r="F25" s="25"/>
      <c r="G25" s="25"/>
      <c r="H25" s="25"/>
      <c r="I25" s="25"/>
      <c r="J25" s="25"/>
      <c r="K25" s="22"/>
      <c r="P25" s="8"/>
      <c r="Q25" s="8"/>
    </row>
    <row r="26" spans="1:17" x14ac:dyDescent="0.45">
      <c r="A26" s="24" t="s">
        <v>45</v>
      </c>
      <c r="B26" s="25"/>
      <c r="C26" s="31"/>
      <c r="D26" s="31"/>
      <c r="E26" s="31"/>
      <c r="F26" s="32"/>
      <c r="G26" s="32"/>
      <c r="H26" s="32"/>
      <c r="I26" s="32"/>
      <c r="J26" s="32"/>
      <c r="K26" s="32"/>
      <c r="P26" s="8"/>
      <c r="Q26" s="8"/>
    </row>
    <row r="27" spans="1:17" x14ac:dyDescent="0.45">
      <c r="A27" s="24" t="s">
        <v>130</v>
      </c>
      <c r="B27" s="32">
        <v>20919.099999999999</v>
      </c>
      <c r="C27" s="32"/>
      <c r="D27" s="22"/>
      <c r="E27" s="22"/>
      <c r="F27" s="33"/>
      <c r="G27" s="33"/>
      <c r="H27" s="33"/>
      <c r="I27" s="33"/>
      <c r="J27" s="33"/>
      <c r="K27" s="32"/>
    </row>
    <row r="28" spans="1:17" x14ac:dyDescent="0.45">
      <c r="A28" s="24" t="s">
        <v>46</v>
      </c>
      <c r="B28" s="32">
        <v>8558.0499999999993</v>
      </c>
      <c r="C28" s="32"/>
      <c r="D28" s="22"/>
      <c r="E28" s="22"/>
      <c r="F28" s="26"/>
      <c r="G28" s="26"/>
      <c r="H28" s="26"/>
      <c r="I28" s="26"/>
      <c r="J28" s="26"/>
      <c r="K28" s="22"/>
    </row>
    <row r="29" spans="1:17" x14ac:dyDescent="0.45">
      <c r="A29" s="22" t="s">
        <v>39</v>
      </c>
      <c r="B29" s="32">
        <f>B23+B27+B28</f>
        <v>1036110.74</v>
      </c>
      <c r="C29" s="32"/>
      <c r="D29" s="22"/>
      <c r="E29" s="22"/>
      <c r="F29" s="26"/>
      <c r="G29" s="26"/>
      <c r="H29" s="26"/>
      <c r="I29" s="26"/>
      <c r="J29" s="26"/>
      <c r="K29" s="22"/>
    </row>
    <row r="30" spans="1:17" x14ac:dyDescent="0.45">
      <c r="A30" s="22"/>
      <c r="B30" s="32"/>
      <c r="C30" s="32"/>
      <c r="D30" s="22"/>
      <c r="E30" s="22"/>
      <c r="F30" s="26"/>
      <c r="G30" s="26"/>
      <c r="H30" s="26"/>
      <c r="I30" s="26"/>
      <c r="J30" s="26"/>
      <c r="K30" s="22"/>
    </row>
    <row r="31" spans="1:17" x14ac:dyDescent="0.4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7" x14ac:dyDescent="0.45">
      <c r="A32" s="22" t="s">
        <v>56</v>
      </c>
      <c r="B32" s="32">
        <v>988735</v>
      </c>
      <c r="C32" s="22"/>
      <c r="D32" s="22"/>
      <c r="E32" s="22"/>
      <c r="F32" s="32"/>
      <c r="G32" s="32"/>
      <c r="H32" s="32"/>
      <c r="I32" s="32"/>
      <c r="J32" s="32"/>
      <c r="K32" s="22"/>
    </row>
    <row r="33" spans="1:15" x14ac:dyDescent="0.45">
      <c r="A33" s="22" t="s">
        <v>128</v>
      </c>
      <c r="B33" s="32">
        <v>1131589.0999999999</v>
      </c>
      <c r="C33" s="22"/>
      <c r="D33" s="22"/>
      <c r="E33" s="22"/>
      <c r="F33" s="32"/>
      <c r="G33" s="32"/>
      <c r="H33" s="32"/>
      <c r="I33" s="32"/>
      <c r="J33" s="32"/>
      <c r="K33" s="22"/>
    </row>
    <row r="34" spans="1:15" x14ac:dyDescent="0.45">
      <c r="A34" s="43" t="s">
        <v>132</v>
      </c>
      <c r="B34" s="43">
        <v>1245651.45</v>
      </c>
      <c r="C34" s="22"/>
      <c r="D34" s="22"/>
      <c r="E34" s="22"/>
      <c r="F34" s="32"/>
      <c r="G34" s="32"/>
      <c r="H34" s="32"/>
      <c r="I34" s="32"/>
      <c r="J34" s="32"/>
      <c r="K34" s="22"/>
    </row>
    <row r="35" spans="1:15" x14ac:dyDescent="0.45">
      <c r="A35" s="22" t="s">
        <v>131</v>
      </c>
      <c r="B35" s="32">
        <f>B29</f>
        <v>1036110.74</v>
      </c>
      <c r="C35" s="34"/>
      <c r="D35" s="22"/>
      <c r="E35" s="22"/>
      <c r="F35" s="26"/>
      <c r="G35" s="26"/>
      <c r="H35" s="26"/>
      <c r="I35" s="26"/>
      <c r="J35" s="26"/>
      <c r="K35" s="22"/>
      <c r="M35" s="18"/>
      <c r="N35" s="32"/>
      <c r="O35" s="18"/>
    </row>
    <row r="36" spans="1:15" x14ac:dyDescent="0.45">
      <c r="A36" s="22" t="s">
        <v>133</v>
      </c>
      <c r="B36" s="43">
        <f>B34-B35</f>
        <v>209540.70999999996</v>
      </c>
      <c r="C36" s="19"/>
      <c r="M36" s="18"/>
      <c r="N36" s="32"/>
      <c r="O36" s="18"/>
    </row>
    <row r="37" spans="1:15" x14ac:dyDescent="0.45">
      <c r="K37" s="22"/>
      <c r="M37" s="18"/>
      <c r="N37" s="32"/>
      <c r="O37" s="18"/>
    </row>
    <row r="38" spans="1:15" x14ac:dyDescent="0.45">
      <c r="A38" s="43"/>
      <c r="B38" s="43"/>
      <c r="N38" s="8"/>
    </row>
    <row r="39" spans="1:15" x14ac:dyDescent="0.45">
      <c r="A39" s="5" t="s">
        <v>134</v>
      </c>
      <c r="B39" s="2"/>
    </row>
    <row r="40" spans="1:15" x14ac:dyDescent="0.45">
      <c r="A40" s="5">
        <v>43616</v>
      </c>
      <c r="B40" s="2">
        <v>926458</v>
      </c>
    </row>
    <row r="41" spans="1:15" x14ac:dyDescent="0.45">
      <c r="A41" s="5">
        <v>43830</v>
      </c>
      <c r="B41" s="16">
        <v>984125</v>
      </c>
    </row>
    <row r="42" spans="1:15" x14ac:dyDescent="0.45">
      <c r="A42" s="5">
        <v>43982</v>
      </c>
      <c r="B42" s="2">
        <v>963957</v>
      </c>
    </row>
    <row r="43" spans="1:15" x14ac:dyDescent="0.45">
      <c r="A43" s="5">
        <v>44165</v>
      </c>
      <c r="B43" s="2">
        <v>1090858.6200000001</v>
      </c>
    </row>
    <row r="44" spans="1:15" x14ac:dyDescent="0.45">
      <c r="A44" s="5">
        <v>44458</v>
      </c>
      <c r="B44" s="45">
        <v>1208946.93</v>
      </c>
    </row>
    <row r="45" spans="1:15" x14ac:dyDescent="0.45">
      <c r="A45" s="5">
        <v>44561</v>
      </c>
      <c r="B45" s="2">
        <v>1217630.3899999999</v>
      </c>
    </row>
    <row r="46" spans="1:15" x14ac:dyDescent="0.45">
      <c r="A46" s="5">
        <v>44719</v>
      </c>
      <c r="B46" s="2">
        <v>1118138.97</v>
      </c>
    </row>
    <row r="47" spans="1:15" x14ac:dyDescent="0.45">
      <c r="A47" s="5">
        <v>44907</v>
      </c>
      <c r="B47" s="6">
        <f>B29</f>
        <v>1036110.74</v>
      </c>
    </row>
    <row r="48" spans="1:15" x14ac:dyDescent="0.45">
      <c r="A48" t="s">
        <v>136</v>
      </c>
      <c r="B48" s="42">
        <f>(B40+B41+B42+B43+B44+B45)/6</f>
        <v>1065329.3233333332</v>
      </c>
    </row>
    <row r="49" spans="1:2" x14ac:dyDescent="0.45">
      <c r="A49" t="s">
        <v>137</v>
      </c>
      <c r="B49" s="42">
        <f>0.04*B48</f>
        <v>42613.172933333328</v>
      </c>
    </row>
    <row r="51" spans="1:2" x14ac:dyDescent="0.45">
      <c r="A51" t="s">
        <v>135</v>
      </c>
      <c r="B51" s="43">
        <f>(B42+B43+B44+B45+B46+B47)/6</f>
        <v>1105940.4416666667</v>
      </c>
    </row>
    <row r="52" spans="1:2" x14ac:dyDescent="0.45">
      <c r="A52" t="s">
        <v>138</v>
      </c>
      <c r="B52" s="43">
        <f>0.04*B51</f>
        <v>44237.617666666665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43" workbookViewId="0">
      <selection activeCell="B39" sqref="B39"/>
    </sheetView>
  </sheetViews>
  <sheetFormatPr defaultRowHeight="14.25" x14ac:dyDescent="0.45"/>
  <cols>
    <col min="1" max="1" width="50.1328125" customWidth="1"/>
    <col min="2" max="2" width="16.3984375" customWidth="1"/>
    <col min="3" max="3" width="6.59765625" customWidth="1"/>
    <col min="4" max="4" width="5.86328125" customWidth="1"/>
    <col min="5" max="5" width="10" customWidth="1"/>
    <col min="6" max="7" width="13.59765625" customWidth="1"/>
    <col min="8" max="8" width="5.86328125" customWidth="1"/>
    <col min="9" max="9" width="10.73046875" customWidth="1"/>
    <col min="10" max="10" width="13.59765625" customWidth="1"/>
    <col min="11" max="11" width="10.73046875" customWidth="1"/>
    <col min="12" max="12" width="13.59765625" customWidth="1"/>
    <col min="15" max="15" width="11.59765625" bestFit="1" customWidth="1"/>
    <col min="16" max="16" width="9.73046875" bestFit="1" customWidth="1"/>
  </cols>
  <sheetData>
    <row r="1" spans="1:17" x14ac:dyDescent="0.45">
      <c r="A1" s="22"/>
      <c r="B1" s="23">
        <v>45272</v>
      </c>
      <c r="C1" s="22">
        <v>2022</v>
      </c>
      <c r="D1" s="22" t="s">
        <v>54</v>
      </c>
      <c r="E1" s="23"/>
      <c r="F1" s="23"/>
      <c r="G1" s="23"/>
      <c r="H1" s="23"/>
      <c r="I1" s="23"/>
      <c r="J1" s="23"/>
      <c r="K1" s="23"/>
      <c r="L1" s="23"/>
      <c r="P1" s="5">
        <v>44708</v>
      </c>
    </row>
    <row r="2" spans="1:17" x14ac:dyDescent="0.45">
      <c r="A2" s="24" t="s">
        <v>129</v>
      </c>
      <c r="B2" s="25">
        <f>data!M32</f>
        <v>25763.05</v>
      </c>
      <c r="C2" s="25"/>
      <c r="D2" s="22"/>
      <c r="E2" s="26"/>
      <c r="F2" s="25"/>
      <c r="G2" s="18"/>
      <c r="H2" s="25"/>
      <c r="I2" s="38"/>
      <c r="J2" s="25"/>
      <c r="K2" s="26"/>
      <c r="L2" s="18"/>
    </row>
    <row r="3" spans="1:17" x14ac:dyDescent="0.45">
      <c r="A3" s="24" t="s">
        <v>49</v>
      </c>
      <c r="B3" s="25">
        <f>data!L32</f>
        <v>23648.38</v>
      </c>
      <c r="C3" s="25"/>
      <c r="D3" s="22"/>
      <c r="E3" s="26"/>
      <c r="F3" s="25"/>
      <c r="G3" s="18"/>
      <c r="H3" s="25"/>
      <c r="I3" s="38"/>
      <c r="J3" s="25"/>
      <c r="K3" s="26"/>
      <c r="L3" s="18"/>
    </row>
    <row r="4" spans="1:17" x14ac:dyDescent="0.45">
      <c r="A4" s="24" t="s">
        <v>4</v>
      </c>
      <c r="B4" s="25">
        <v>0</v>
      </c>
      <c r="C4" s="25"/>
      <c r="D4" s="22"/>
      <c r="E4" s="22"/>
      <c r="F4" s="25"/>
      <c r="G4" s="25"/>
      <c r="H4" s="25"/>
      <c r="I4" s="38"/>
      <c r="J4" s="25"/>
      <c r="K4" s="22"/>
    </row>
    <row r="5" spans="1:17" x14ac:dyDescent="0.45">
      <c r="A5" s="27" t="s">
        <v>25</v>
      </c>
      <c r="B5" s="25">
        <f>B2+B3+B4</f>
        <v>49411.43</v>
      </c>
      <c r="C5" s="28">
        <f>B5/$B$23</f>
        <v>4.2219533082225084E-2</v>
      </c>
      <c r="D5" s="29">
        <v>0.05</v>
      </c>
      <c r="E5" s="30">
        <v>0.05</v>
      </c>
      <c r="F5" s="25"/>
      <c r="G5" s="25"/>
      <c r="H5" s="35"/>
      <c r="I5" s="38"/>
      <c r="J5" s="25"/>
      <c r="K5" s="32"/>
      <c r="L5" s="19"/>
    </row>
    <row r="6" spans="1:17" x14ac:dyDescent="0.45">
      <c r="A6" s="22"/>
      <c r="B6" s="22"/>
      <c r="C6" s="22"/>
      <c r="D6" s="22"/>
      <c r="E6" s="30"/>
      <c r="F6" s="22"/>
      <c r="G6" s="22"/>
      <c r="H6" s="36"/>
      <c r="I6" s="38"/>
      <c r="J6" s="22"/>
      <c r="K6" s="32"/>
      <c r="L6" s="19"/>
    </row>
    <row r="7" spans="1:17" x14ac:dyDescent="0.45">
      <c r="A7" s="24" t="s">
        <v>26</v>
      </c>
      <c r="B7" s="25">
        <f>data!H32</f>
        <v>476525.51</v>
      </c>
      <c r="C7" s="25"/>
      <c r="D7" s="24"/>
      <c r="E7" s="30"/>
      <c r="F7" s="25"/>
      <c r="G7" s="18"/>
      <c r="H7" s="35"/>
      <c r="I7" s="38"/>
      <c r="J7" s="25"/>
      <c r="K7" s="32"/>
      <c r="L7" s="18"/>
      <c r="M7" s="8"/>
    </row>
    <row r="8" spans="1:17" x14ac:dyDescent="0.45">
      <c r="A8" s="27" t="s">
        <v>27</v>
      </c>
      <c r="B8" s="25">
        <f>B7</f>
        <v>476525.51</v>
      </c>
      <c r="C8" s="28">
        <f>B8/$B$23</f>
        <v>0.40716661173273433</v>
      </c>
      <c r="D8" s="29">
        <v>0.4</v>
      </c>
      <c r="E8" s="30">
        <v>0.42499999999999999</v>
      </c>
      <c r="F8" s="25"/>
      <c r="G8" s="25"/>
      <c r="H8" s="35"/>
      <c r="I8" s="38"/>
      <c r="J8" s="25"/>
      <c r="K8" s="32"/>
      <c r="L8" s="19"/>
      <c r="O8" s="18"/>
      <c r="Q8" s="21"/>
    </row>
    <row r="9" spans="1:17" x14ac:dyDescent="0.45">
      <c r="A9" s="22"/>
      <c r="B9" s="12"/>
      <c r="C9" s="12"/>
      <c r="D9" s="13"/>
      <c r="E9" s="30"/>
      <c r="F9" s="12"/>
      <c r="G9" s="12"/>
      <c r="H9" s="37"/>
      <c r="I9" s="38"/>
      <c r="J9" s="12"/>
      <c r="K9" s="32"/>
      <c r="L9" s="19"/>
    </row>
    <row r="10" spans="1:17" x14ac:dyDescent="0.45">
      <c r="A10" s="24" t="s">
        <v>57</v>
      </c>
      <c r="B10" s="25">
        <f>data!G32</f>
        <v>101904.72</v>
      </c>
      <c r="C10" s="25"/>
      <c r="D10" s="24"/>
      <c r="E10" s="30"/>
      <c r="F10" s="25"/>
      <c r="G10" s="18"/>
      <c r="H10" s="35"/>
      <c r="I10" s="38"/>
      <c r="J10" s="25"/>
      <c r="K10" s="32"/>
      <c r="L10" s="19"/>
    </row>
    <row r="11" spans="1:17" x14ac:dyDescent="0.45">
      <c r="A11" s="24" t="s">
        <v>50</v>
      </c>
      <c r="B11" s="25">
        <f>data!E32</f>
        <v>12337.65</v>
      </c>
      <c r="C11" s="25"/>
      <c r="D11" s="24"/>
      <c r="E11" s="30"/>
      <c r="F11" s="25"/>
      <c r="G11" s="18"/>
      <c r="H11" s="35"/>
      <c r="I11" s="38"/>
      <c r="J11" s="25"/>
      <c r="K11" s="32"/>
      <c r="L11" s="19"/>
    </row>
    <row r="12" spans="1:17" x14ac:dyDescent="0.45">
      <c r="A12" s="27" t="s">
        <v>29</v>
      </c>
      <c r="B12" s="25">
        <f>B10+B11</f>
        <v>114242.37</v>
      </c>
      <c r="C12" s="28">
        <f>B12/$B$23</f>
        <v>9.7614246736166074E-2</v>
      </c>
      <c r="D12" s="29">
        <v>0.1</v>
      </c>
      <c r="E12" s="30">
        <v>0.1</v>
      </c>
      <c r="F12" s="25"/>
      <c r="G12" s="25"/>
      <c r="H12" s="35"/>
      <c r="I12" s="38"/>
      <c r="J12" s="25"/>
      <c r="K12" s="32"/>
      <c r="L12" s="19"/>
      <c r="P12" s="8"/>
    </row>
    <row r="13" spans="1:17" x14ac:dyDescent="0.45">
      <c r="A13" s="22"/>
      <c r="B13" s="12"/>
      <c r="C13" s="12"/>
      <c r="D13" s="13"/>
      <c r="E13" s="30"/>
      <c r="F13" s="12"/>
      <c r="G13" s="12"/>
      <c r="H13" s="37"/>
      <c r="I13" s="38"/>
      <c r="J13" s="12"/>
      <c r="K13" s="32"/>
      <c r="L13" s="19"/>
    </row>
    <row r="14" spans="1:17" x14ac:dyDescent="0.45">
      <c r="A14" s="24" t="s">
        <v>59</v>
      </c>
      <c r="B14" s="25">
        <f>data!J32</f>
        <v>233374.93</v>
      </c>
      <c r="C14" s="25"/>
      <c r="D14" s="24"/>
      <c r="E14" s="30"/>
      <c r="F14" s="25"/>
      <c r="G14" s="18"/>
      <c r="H14" s="35"/>
      <c r="I14" s="38"/>
      <c r="J14" s="25"/>
      <c r="K14" s="32"/>
      <c r="L14" s="19"/>
    </row>
    <row r="15" spans="1:17" x14ac:dyDescent="0.45">
      <c r="A15" s="24" t="s">
        <v>58</v>
      </c>
      <c r="B15" s="25">
        <f>data!D32</f>
        <v>96923.88</v>
      </c>
      <c r="C15" s="25"/>
      <c r="D15" s="24"/>
      <c r="E15" s="30"/>
      <c r="F15" s="25"/>
      <c r="G15" s="18"/>
      <c r="H15" s="35"/>
      <c r="I15" s="38"/>
      <c r="J15" s="25"/>
      <c r="K15" s="32"/>
      <c r="L15" s="19"/>
    </row>
    <row r="16" spans="1:17" x14ac:dyDescent="0.45">
      <c r="A16" s="24" t="s">
        <v>32</v>
      </c>
      <c r="B16" s="25">
        <f>data!I32</f>
        <v>140916.35</v>
      </c>
      <c r="C16" s="25"/>
      <c r="D16" s="24"/>
      <c r="E16" s="30"/>
      <c r="F16" s="25"/>
      <c r="G16" s="18"/>
      <c r="H16" s="35"/>
      <c r="I16" s="38"/>
      <c r="J16" s="25"/>
      <c r="K16" s="32"/>
      <c r="L16" s="18"/>
    </row>
    <row r="17" spans="1:17" x14ac:dyDescent="0.45">
      <c r="A17" s="27" t="s">
        <v>33</v>
      </c>
      <c r="B17" s="25">
        <f>SUM(B14:B16)</f>
        <v>471215.16000000003</v>
      </c>
      <c r="C17" s="28">
        <f>B17/$B$23</f>
        <v>0.40262918997620567</v>
      </c>
      <c r="D17" s="29">
        <v>0.4</v>
      </c>
      <c r="E17" s="30">
        <v>0.375</v>
      </c>
      <c r="F17" s="25"/>
      <c r="G17" s="25"/>
      <c r="H17" s="35"/>
      <c r="I17" s="38"/>
      <c r="J17" s="25"/>
      <c r="K17" s="32"/>
      <c r="L17" s="19"/>
    </row>
    <row r="18" spans="1:17" x14ac:dyDescent="0.45">
      <c r="A18" s="22"/>
      <c r="B18" s="12"/>
      <c r="C18" s="12"/>
      <c r="D18" s="13"/>
      <c r="E18" s="30"/>
      <c r="F18" s="12"/>
      <c r="G18" s="12"/>
      <c r="H18" s="37"/>
      <c r="I18" s="38"/>
      <c r="J18" s="12"/>
      <c r="K18" s="32"/>
      <c r="L18" s="19"/>
    </row>
    <row r="19" spans="1:17" x14ac:dyDescent="0.45">
      <c r="A19" s="24" t="s">
        <v>34</v>
      </c>
      <c r="B19" s="25">
        <f>data!F32</f>
        <v>42010.78</v>
      </c>
      <c r="C19" s="25"/>
      <c r="D19" s="24"/>
      <c r="E19" s="30"/>
      <c r="F19" s="25"/>
      <c r="G19" s="18"/>
      <c r="H19" s="35"/>
      <c r="I19" s="38"/>
      <c r="J19" s="25"/>
      <c r="K19" s="32"/>
      <c r="L19" s="18"/>
    </row>
    <row r="20" spans="1:17" x14ac:dyDescent="0.45">
      <c r="A20" s="24" t="s">
        <v>35</v>
      </c>
      <c r="B20" s="25">
        <f>data!C32</f>
        <v>16940</v>
      </c>
      <c r="C20" s="25"/>
      <c r="D20" s="24"/>
      <c r="E20" s="30"/>
      <c r="F20" s="25"/>
      <c r="G20" s="18"/>
      <c r="H20" s="35"/>
      <c r="I20" s="38"/>
      <c r="J20" s="25"/>
      <c r="K20" s="32"/>
      <c r="L20" s="19"/>
    </row>
    <row r="21" spans="1:17" x14ac:dyDescent="0.45">
      <c r="A21" s="27" t="s">
        <v>36</v>
      </c>
      <c r="B21" s="25">
        <f>B19+B20</f>
        <v>58950.78</v>
      </c>
      <c r="C21" s="28">
        <f>B21/$B$23</f>
        <v>5.0370418472668634E-2</v>
      </c>
      <c r="D21" s="29">
        <v>0.05</v>
      </c>
      <c r="E21" s="30">
        <v>0.05</v>
      </c>
      <c r="F21" s="25"/>
      <c r="G21" s="25"/>
      <c r="H21" s="35"/>
      <c r="I21" s="38"/>
      <c r="J21" s="25"/>
      <c r="K21" s="32"/>
      <c r="L21" s="19"/>
    </row>
    <row r="22" spans="1:17" x14ac:dyDescent="0.45">
      <c r="A22" s="22"/>
      <c r="B22" s="12"/>
      <c r="C22" s="12"/>
      <c r="D22" s="13"/>
      <c r="E22" s="30"/>
      <c r="F22" s="12"/>
      <c r="G22" s="12"/>
      <c r="H22" s="12"/>
      <c r="I22" s="38"/>
      <c r="J22" s="39"/>
      <c r="K22" s="22"/>
    </row>
    <row r="23" spans="1:17" x14ac:dyDescent="0.45">
      <c r="A23" s="24" t="s">
        <v>53</v>
      </c>
      <c r="B23" s="25">
        <f>B5+B8+B12+B17+B21</f>
        <v>1170345.2500000002</v>
      </c>
      <c r="C23" s="31">
        <f>C5+C8+C12+C17+C21</f>
        <v>0.99999999999999978</v>
      </c>
      <c r="D23" s="31">
        <f>D5+D8+D12+D17+D21</f>
        <v>1</v>
      </c>
      <c r="E23" s="47">
        <f>SUM(E5:E21)</f>
        <v>1</v>
      </c>
      <c r="F23" s="25"/>
      <c r="G23" s="25"/>
      <c r="H23" s="25"/>
      <c r="I23" s="38"/>
      <c r="J23" s="25"/>
      <c r="K23" s="30"/>
      <c r="P23" s="8"/>
      <c r="Q23" s="8"/>
    </row>
    <row r="24" spans="1:17" x14ac:dyDescent="0.45">
      <c r="A24" s="24" t="s">
        <v>52</v>
      </c>
      <c r="B24" s="25"/>
      <c r="C24" s="31"/>
      <c r="D24" s="31"/>
      <c r="E24" s="30"/>
      <c r="F24" s="25"/>
      <c r="G24" s="25"/>
      <c r="H24" s="25"/>
      <c r="I24" s="38"/>
      <c r="J24" s="25"/>
      <c r="K24" s="22"/>
      <c r="P24" s="8"/>
      <c r="Q24" s="8"/>
    </row>
    <row r="25" spans="1:17" x14ac:dyDescent="0.45">
      <c r="A25" s="24"/>
      <c r="B25" s="25"/>
      <c r="C25" s="31"/>
      <c r="D25" s="31"/>
      <c r="E25" s="31"/>
      <c r="F25" s="25"/>
      <c r="G25" s="25"/>
      <c r="H25" s="25"/>
      <c r="I25" s="25"/>
      <c r="J25" s="25"/>
      <c r="K25" s="22"/>
      <c r="P25" s="8"/>
      <c r="Q25" s="8"/>
    </row>
    <row r="26" spans="1:17" x14ac:dyDescent="0.45">
      <c r="A26" s="24" t="s">
        <v>45</v>
      </c>
      <c r="B26" s="25"/>
      <c r="C26" s="31"/>
      <c r="D26" s="31"/>
      <c r="E26" s="31"/>
      <c r="F26" s="32"/>
      <c r="G26" s="32"/>
      <c r="H26" s="32"/>
      <c r="I26" s="32"/>
      <c r="J26" s="32"/>
      <c r="K26" s="32"/>
      <c r="P26" s="8"/>
      <c r="Q26" s="8"/>
    </row>
    <row r="27" spans="1:17" x14ac:dyDescent="0.45">
      <c r="A27" s="24" t="s">
        <v>130</v>
      </c>
      <c r="B27" s="32">
        <v>16008.85</v>
      </c>
      <c r="C27" s="32"/>
      <c r="D27" s="22"/>
      <c r="E27" s="31"/>
      <c r="F27" s="33"/>
      <c r="G27" s="33"/>
      <c r="H27" s="33"/>
      <c r="I27" s="33"/>
      <c r="J27" s="33"/>
      <c r="K27" s="32"/>
    </row>
    <row r="28" spans="1:17" x14ac:dyDescent="0.45">
      <c r="A28" s="24" t="s">
        <v>46</v>
      </c>
      <c r="B28" s="32">
        <v>7252.68</v>
      </c>
      <c r="C28" s="32"/>
      <c r="D28" s="22"/>
      <c r="E28" s="22"/>
      <c r="F28" s="26"/>
      <c r="G28" s="26"/>
      <c r="H28" s="26"/>
      <c r="I28" s="26"/>
      <c r="J28" s="26"/>
      <c r="K28" s="22"/>
    </row>
    <row r="29" spans="1:17" x14ac:dyDescent="0.45">
      <c r="A29" s="22" t="s">
        <v>39</v>
      </c>
      <c r="B29" s="32">
        <f>B23+B27+B28</f>
        <v>1193606.7800000003</v>
      </c>
      <c r="C29" s="32"/>
      <c r="D29" s="22"/>
      <c r="E29" s="22"/>
      <c r="F29" s="26"/>
      <c r="G29" s="26"/>
      <c r="H29" s="26"/>
      <c r="I29" s="26"/>
      <c r="J29" s="26"/>
      <c r="K29" s="22"/>
    </row>
    <row r="30" spans="1:17" x14ac:dyDescent="0.45">
      <c r="A30" s="22"/>
      <c r="B30" s="32"/>
      <c r="C30" s="32"/>
      <c r="D30" s="22"/>
      <c r="E30" s="22"/>
      <c r="F30" s="26"/>
      <c r="G30" s="26"/>
      <c r="H30" s="26"/>
      <c r="I30" s="26"/>
      <c r="J30" s="26"/>
      <c r="K30" s="22"/>
    </row>
    <row r="31" spans="1:17" x14ac:dyDescent="0.4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7" x14ac:dyDescent="0.45">
      <c r="A32" s="22" t="s">
        <v>154</v>
      </c>
      <c r="B32" s="32">
        <v>988735</v>
      </c>
      <c r="C32" s="22"/>
      <c r="D32" s="22"/>
      <c r="E32" s="22"/>
      <c r="F32" s="32"/>
      <c r="G32" s="32"/>
      <c r="H32" s="32"/>
      <c r="I32" s="32"/>
      <c r="J32" s="32"/>
      <c r="K32" s="22"/>
    </row>
    <row r="33" spans="1:15" x14ac:dyDescent="0.45">
      <c r="A33" s="22" t="s">
        <v>155</v>
      </c>
      <c r="B33" s="32">
        <v>1131589.0999999999</v>
      </c>
      <c r="C33" s="22"/>
      <c r="D33" s="22"/>
      <c r="E33" s="22"/>
      <c r="F33" s="32"/>
      <c r="G33" s="32"/>
      <c r="H33" s="32"/>
      <c r="I33" s="32"/>
      <c r="J33" s="32"/>
      <c r="K33" s="22"/>
    </row>
    <row r="34" spans="1:15" x14ac:dyDescent="0.45">
      <c r="A34" s="43" t="s">
        <v>132</v>
      </c>
      <c r="B34" s="43">
        <v>1245651.45</v>
      </c>
      <c r="C34" s="22"/>
      <c r="D34" s="22"/>
      <c r="E34" s="22"/>
      <c r="F34" s="32"/>
      <c r="G34" s="32"/>
      <c r="H34" s="32"/>
      <c r="I34" s="32"/>
      <c r="J34" s="32"/>
      <c r="K34" s="22"/>
    </row>
    <row r="35" spans="1:15" x14ac:dyDescent="0.45">
      <c r="A35" s="22" t="s">
        <v>131</v>
      </c>
      <c r="B35" s="32">
        <f>B29</f>
        <v>1193606.7800000003</v>
      </c>
      <c r="C35" s="34"/>
      <c r="D35" s="22"/>
      <c r="E35" s="22"/>
      <c r="F35" s="26"/>
      <c r="G35" s="26"/>
      <c r="H35" s="26"/>
      <c r="I35" s="26"/>
      <c r="J35" s="26"/>
      <c r="K35" s="22"/>
      <c r="M35" s="18"/>
      <c r="N35" s="32"/>
      <c r="O35" s="18"/>
    </row>
    <row r="36" spans="1:15" x14ac:dyDescent="0.45">
      <c r="A36" s="22" t="s">
        <v>156</v>
      </c>
      <c r="B36" s="32">
        <v>1036110.74</v>
      </c>
      <c r="C36" s="34"/>
      <c r="D36" s="22"/>
      <c r="E36" s="22"/>
      <c r="F36" s="26"/>
      <c r="G36" s="26"/>
      <c r="H36" s="26"/>
      <c r="I36" s="26"/>
      <c r="J36" s="26"/>
      <c r="K36" s="22"/>
      <c r="M36" s="18"/>
      <c r="N36" s="32"/>
      <c r="O36" s="18"/>
    </row>
    <row r="37" spans="1:15" x14ac:dyDescent="0.45">
      <c r="A37" s="22" t="s">
        <v>157</v>
      </c>
      <c r="B37" s="32">
        <v>1087289.79</v>
      </c>
      <c r="C37" s="34"/>
      <c r="D37" s="22"/>
      <c r="E37" s="22"/>
      <c r="F37" s="26"/>
      <c r="G37" s="26"/>
      <c r="H37" s="26"/>
      <c r="I37" s="26"/>
      <c r="J37" s="26"/>
      <c r="K37" s="22"/>
      <c r="M37" s="18"/>
      <c r="N37" s="32"/>
      <c r="O37" s="18"/>
    </row>
    <row r="38" spans="1:15" x14ac:dyDescent="0.45">
      <c r="A38" s="22" t="s">
        <v>184</v>
      </c>
      <c r="B38" s="32">
        <f>B29</f>
        <v>1193606.7800000003</v>
      </c>
      <c r="C38" s="19"/>
      <c r="E38" s="22"/>
      <c r="M38" s="18"/>
      <c r="N38" s="32"/>
      <c r="O38" s="18"/>
    </row>
    <row r="39" spans="1:15" x14ac:dyDescent="0.45">
      <c r="A39" s="22" t="s">
        <v>133</v>
      </c>
      <c r="B39" s="43">
        <f>B38-B37</f>
        <v>106316.99000000022</v>
      </c>
      <c r="K39" s="22"/>
      <c r="M39" s="18"/>
      <c r="N39" s="32"/>
      <c r="O39" s="18"/>
    </row>
    <row r="40" spans="1:15" x14ac:dyDescent="0.45">
      <c r="N40" s="8"/>
    </row>
    <row r="41" spans="1:15" x14ac:dyDescent="0.45">
      <c r="A41" s="43"/>
      <c r="B41" s="43"/>
    </row>
    <row r="42" spans="1:15" x14ac:dyDescent="0.45">
      <c r="A42" s="5" t="s">
        <v>134</v>
      </c>
      <c r="B42" s="2"/>
    </row>
    <row r="43" spans="1:15" x14ac:dyDescent="0.45">
      <c r="A43" s="5">
        <v>43616</v>
      </c>
      <c r="B43" s="2">
        <v>926458</v>
      </c>
    </row>
    <row r="44" spans="1:15" x14ac:dyDescent="0.45">
      <c r="A44" s="5">
        <v>43830</v>
      </c>
      <c r="B44" s="16">
        <v>984125</v>
      </c>
    </row>
    <row r="45" spans="1:15" x14ac:dyDescent="0.45">
      <c r="A45" s="5">
        <v>43982</v>
      </c>
      <c r="B45" s="2">
        <v>963957</v>
      </c>
    </row>
    <row r="46" spans="1:15" x14ac:dyDescent="0.45">
      <c r="A46" s="5">
        <v>44165</v>
      </c>
      <c r="B46" s="2">
        <v>1090858.6200000001</v>
      </c>
    </row>
    <row r="47" spans="1:15" x14ac:dyDescent="0.45">
      <c r="A47" s="5">
        <v>44458</v>
      </c>
      <c r="B47" s="45">
        <v>1208946.93</v>
      </c>
    </row>
    <row r="48" spans="1:15" x14ac:dyDescent="0.45">
      <c r="A48" s="5">
        <v>44561</v>
      </c>
      <c r="B48" s="2">
        <v>1217630.3899999999</v>
      </c>
    </row>
    <row r="49" spans="1:2" x14ac:dyDescent="0.45">
      <c r="A49" s="5">
        <v>44719</v>
      </c>
      <c r="B49" s="2">
        <v>1118138.97</v>
      </c>
    </row>
    <row r="50" spans="1:2" x14ac:dyDescent="0.45">
      <c r="A50" s="5">
        <v>44907</v>
      </c>
      <c r="B50" s="6">
        <f>B29</f>
        <v>1193606.7800000003</v>
      </c>
    </row>
    <row r="51" spans="1:2" x14ac:dyDescent="0.45">
      <c r="A51" s="5">
        <v>45077</v>
      </c>
      <c r="B51" s="6">
        <v>1022616.19</v>
      </c>
    </row>
    <row r="52" spans="1:2" x14ac:dyDescent="0.45">
      <c r="A52" s="5">
        <v>45272</v>
      </c>
      <c r="B52" s="25">
        <v>1042600.54</v>
      </c>
    </row>
    <row r="53" spans="1:2" x14ac:dyDescent="0.45">
      <c r="A53" s="5">
        <v>41993</v>
      </c>
      <c r="B53" s="25">
        <v>1170345.2500000002</v>
      </c>
    </row>
    <row r="54" spans="1:2" x14ac:dyDescent="0.45">
      <c r="A54" s="5"/>
      <c r="B54" s="25"/>
    </row>
    <row r="55" spans="1:2" x14ac:dyDescent="0.45">
      <c r="A55" t="s">
        <v>159</v>
      </c>
      <c r="B55" s="42">
        <f>(B49+B50+B51+B52+B53)/5</f>
        <v>1109461.5460000001</v>
      </c>
    </row>
    <row r="56" spans="1:2" x14ac:dyDescent="0.45">
      <c r="A56" t="s">
        <v>183</v>
      </c>
      <c r="B56" s="42">
        <f>0.05*B55</f>
        <v>55473.077300000004</v>
      </c>
    </row>
    <row r="58" spans="1:2" x14ac:dyDescent="0.45">
      <c r="B58" s="43"/>
    </row>
    <row r="59" spans="1:2" x14ac:dyDescent="0.45">
      <c r="B59" s="4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zoomScale="87" zoomScaleNormal="87" workbookViewId="0">
      <pane ySplit="795" topLeftCell="A3" activePane="bottomLeft"/>
      <selection activeCell="C3" sqref="C3"/>
      <selection pane="bottomLeft" activeCell="M33" sqref="M33"/>
    </sheetView>
  </sheetViews>
  <sheetFormatPr defaultRowHeight="14.25" x14ac:dyDescent="0.45"/>
  <cols>
    <col min="1" max="1" width="13.73046875" bestFit="1" customWidth="1"/>
    <col min="2" max="2" width="13.265625" style="2" bestFit="1" customWidth="1"/>
    <col min="3" max="3" width="11.1328125" style="2" bestFit="1" customWidth="1"/>
    <col min="4" max="4" width="12.1328125" style="2" bestFit="1" customWidth="1"/>
    <col min="5" max="5" width="12.1328125" style="2" customWidth="1"/>
    <col min="6" max="7" width="12.1328125" style="2" bestFit="1" customWidth="1"/>
    <col min="8" max="8" width="13.265625" style="2" bestFit="1" customWidth="1"/>
    <col min="9" max="9" width="13.265625" style="2" customWidth="1"/>
    <col min="10" max="10" width="13.265625" style="2" bestFit="1" customWidth="1"/>
    <col min="11" max="12" width="12.1328125" style="2" bestFit="1" customWidth="1"/>
    <col min="13" max="13" width="12.1328125" customWidth="1"/>
    <col min="14" max="14" width="17" customWidth="1"/>
    <col min="15" max="15" width="13.59765625" bestFit="1" customWidth="1"/>
  </cols>
  <sheetData>
    <row r="1" spans="1:24" x14ac:dyDescent="0.45">
      <c r="B1" s="2" t="s">
        <v>1</v>
      </c>
      <c r="C1" s="2" t="s">
        <v>15</v>
      </c>
      <c r="D1" s="2" t="s">
        <v>16</v>
      </c>
      <c r="E1" s="2" t="s">
        <v>43</v>
      </c>
      <c r="F1" s="2" t="s">
        <v>0</v>
      </c>
      <c r="G1" s="2" t="s">
        <v>2</v>
      </c>
      <c r="H1" s="2" t="s">
        <v>3</v>
      </c>
      <c r="I1" s="2" t="s">
        <v>21</v>
      </c>
      <c r="J1" s="2" t="s">
        <v>22</v>
      </c>
      <c r="K1" s="2" t="s">
        <v>4</v>
      </c>
      <c r="L1" s="2" t="s">
        <v>47</v>
      </c>
      <c r="M1" s="2" t="s">
        <v>5</v>
      </c>
      <c r="N1" s="2" t="s">
        <v>1</v>
      </c>
      <c r="O1" t="s">
        <v>6</v>
      </c>
    </row>
    <row r="2" spans="1:24" x14ac:dyDescent="0.45">
      <c r="C2" s="2" t="s">
        <v>8</v>
      </c>
      <c r="D2" s="2" t="s">
        <v>14</v>
      </c>
      <c r="E2" s="2" t="s">
        <v>17</v>
      </c>
      <c r="F2" s="2" t="s">
        <v>8</v>
      </c>
      <c r="G2" s="2" t="s">
        <v>17</v>
      </c>
      <c r="H2" s="2" t="s">
        <v>19</v>
      </c>
      <c r="I2" s="2" t="s">
        <v>121</v>
      </c>
      <c r="J2" s="2" t="s">
        <v>18</v>
      </c>
      <c r="K2" s="2" t="s">
        <v>10</v>
      </c>
      <c r="L2" s="2" t="s">
        <v>10</v>
      </c>
      <c r="M2" s="2" t="s">
        <v>48</v>
      </c>
      <c r="N2" s="2"/>
    </row>
    <row r="3" spans="1:24" x14ac:dyDescent="0.45">
      <c r="A3" s="4">
        <v>42510</v>
      </c>
      <c r="B3" s="2">
        <v>745172</v>
      </c>
      <c r="F3" s="2">
        <v>9815</v>
      </c>
      <c r="G3" s="2">
        <v>63102</v>
      </c>
      <c r="H3" s="2">
        <v>340481</v>
      </c>
      <c r="J3" s="2">
        <v>235941</v>
      </c>
      <c r="K3" s="2">
        <v>13063</v>
      </c>
      <c r="L3" s="2">
        <v>82771</v>
      </c>
      <c r="O3">
        <f t="shared" ref="O3:O23" si="0">B3-SUM(C3:L3)</f>
        <v>-1</v>
      </c>
      <c r="Q3" s="1"/>
      <c r="R3" s="1"/>
      <c r="S3" s="1"/>
      <c r="T3" s="1"/>
      <c r="U3" s="1"/>
      <c r="V3" s="1"/>
      <c r="W3" s="1"/>
      <c r="X3" s="1"/>
    </row>
    <row r="4" spans="1:24" x14ac:dyDescent="0.45">
      <c r="A4" s="5">
        <v>42551</v>
      </c>
      <c r="B4" s="2">
        <v>764449</v>
      </c>
      <c r="C4" s="2">
        <v>7294</v>
      </c>
      <c r="D4" s="2">
        <v>56458</v>
      </c>
      <c r="F4" s="2">
        <v>22611</v>
      </c>
      <c r="G4" s="2">
        <v>74421</v>
      </c>
      <c r="H4" s="2">
        <v>327613</v>
      </c>
      <c r="J4" s="2">
        <v>236927</v>
      </c>
      <c r="K4" s="2">
        <v>13108</v>
      </c>
      <c r="L4" s="2">
        <v>26018</v>
      </c>
      <c r="O4">
        <f t="shared" si="0"/>
        <v>-1</v>
      </c>
      <c r="Q4" s="1"/>
      <c r="R4" s="1"/>
      <c r="S4" s="1"/>
      <c r="T4" s="1"/>
      <c r="U4" s="1"/>
      <c r="V4" s="1"/>
      <c r="W4" s="1"/>
      <c r="X4" s="1"/>
    </row>
    <row r="5" spans="1:24" x14ac:dyDescent="0.45">
      <c r="A5" s="5">
        <v>42766</v>
      </c>
      <c r="B5" s="2">
        <v>770706</v>
      </c>
      <c r="C5" s="2">
        <v>7372</v>
      </c>
      <c r="D5" s="2">
        <v>53903</v>
      </c>
      <c r="F5" s="2">
        <v>21045</v>
      </c>
      <c r="G5" s="2">
        <v>75345</v>
      </c>
      <c r="H5" s="2">
        <v>339100</v>
      </c>
      <c r="J5" s="2">
        <v>227712</v>
      </c>
      <c r="K5" s="2">
        <v>13072</v>
      </c>
      <c r="L5" s="2">
        <v>33158</v>
      </c>
      <c r="O5">
        <f t="shared" si="0"/>
        <v>-1</v>
      </c>
      <c r="Q5" s="1"/>
      <c r="R5" s="1"/>
      <c r="S5" s="1"/>
      <c r="T5" s="1"/>
      <c r="U5" s="1"/>
      <c r="V5" s="1"/>
      <c r="W5" s="1"/>
      <c r="X5" s="1"/>
    </row>
    <row r="6" spans="1:24" x14ac:dyDescent="0.45">
      <c r="A6" s="5">
        <v>42847</v>
      </c>
      <c r="B6" s="2">
        <v>792950</v>
      </c>
      <c r="C6" s="2">
        <v>8467</v>
      </c>
      <c r="D6" s="2">
        <v>54777</v>
      </c>
      <c r="F6" s="2">
        <v>29360</v>
      </c>
      <c r="G6" s="2">
        <v>80846</v>
      </c>
      <c r="H6" s="2">
        <v>337177</v>
      </c>
      <c r="I6" s="2">
        <v>19479</v>
      </c>
      <c r="J6" s="2">
        <v>229894</v>
      </c>
      <c r="K6" s="2">
        <v>13040</v>
      </c>
      <c r="L6" s="2">
        <v>19909</v>
      </c>
      <c r="O6">
        <f t="shared" si="0"/>
        <v>1</v>
      </c>
      <c r="Q6" s="1"/>
      <c r="R6" s="1"/>
      <c r="S6" s="1"/>
      <c r="T6" s="1"/>
      <c r="U6" s="1"/>
      <c r="V6" s="1"/>
      <c r="W6" s="1"/>
      <c r="X6" s="1"/>
    </row>
    <row r="7" spans="1:24" x14ac:dyDescent="0.45">
      <c r="A7" s="5">
        <v>43022</v>
      </c>
      <c r="B7" s="2">
        <v>860788</v>
      </c>
      <c r="C7" s="2">
        <v>8551</v>
      </c>
      <c r="D7" s="2">
        <v>55927</v>
      </c>
      <c r="F7" s="2">
        <v>29253</v>
      </c>
      <c r="G7" s="2">
        <v>92289</v>
      </c>
      <c r="H7" s="2">
        <v>356394</v>
      </c>
      <c r="I7" s="2">
        <v>24751</v>
      </c>
      <c r="J7" s="2">
        <v>199803</v>
      </c>
      <c r="K7" s="2">
        <v>0</v>
      </c>
      <c r="L7" s="2">
        <v>93822</v>
      </c>
      <c r="M7" s="6"/>
      <c r="N7" s="6"/>
      <c r="O7">
        <f t="shared" si="0"/>
        <v>-2</v>
      </c>
      <c r="Q7" s="1"/>
      <c r="R7" s="1"/>
      <c r="S7" s="1"/>
      <c r="T7" s="1"/>
      <c r="U7" s="1"/>
      <c r="V7" s="1"/>
      <c r="W7" s="1"/>
      <c r="X7" s="1"/>
    </row>
    <row r="8" spans="1:24" x14ac:dyDescent="0.45">
      <c r="A8" s="5">
        <v>43100</v>
      </c>
      <c r="B8" s="2">
        <v>881051</v>
      </c>
      <c r="C8" s="2">
        <v>8639</v>
      </c>
      <c r="D8" s="2">
        <v>55918</v>
      </c>
      <c r="F8" s="2">
        <v>29066</v>
      </c>
      <c r="G8" s="2">
        <v>85919</v>
      </c>
      <c r="H8" s="2">
        <v>367855</v>
      </c>
      <c r="I8" s="2">
        <v>54635</v>
      </c>
      <c r="J8" s="2">
        <v>223741</v>
      </c>
      <c r="K8" s="2">
        <v>25005</v>
      </c>
      <c r="L8" s="2">
        <f>11245+19029</f>
        <v>30274</v>
      </c>
      <c r="O8">
        <f t="shared" si="0"/>
        <v>-1</v>
      </c>
      <c r="Q8" s="1"/>
      <c r="R8" s="1"/>
      <c r="S8" s="1"/>
      <c r="T8" s="1"/>
      <c r="U8" s="1"/>
      <c r="V8" s="1"/>
      <c r="W8" s="1"/>
      <c r="X8" s="1"/>
    </row>
    <row r="9" spans="1:24" x14ac:dyDescent="0.45">
      <c r="A9" s="5">
        <v>43148</v>
      </c>
      <c r="B9" s="2">
        <v>879063</v>
      </c>
      <c r="C9" s="2">
        <v>8619</v>
      </c>
      <c r="D9" s="2">
        <v>54119</v>
      </c>
      <c r="F9" s="2">
        <v>31793</v>
      </c>
      <c r="G9" s="2">
        <v>87235</v>
      </c>
      <c r="H9" s="2">
        <v>355502</v>
      </c>
      <c r="I9" s="2">
        <v>53500</v>
      </c>
      <c r="J9" s="2">
        <v>231935</v>
      </c>
      <c r="K9" s="2">
        <v>24953</v>
      </c>
      <c r="L9" s="2">
        <v>31406</v>
      </c>
      <c r="O9">
        <f t="shared" si="0"/>
        <v>1</v>
      </c>
      <c r="Q9" s="1"/>
      <c r="R9" s="1"/>
      <c r="S9" s="1"/>
      <c r="T9" s="1"/>
      <c r="U9" s="1"/>
      <c r="V9" s="1"/>
      <c r="W9" s="1"/>
      <c r="X9" s="1"/>
    </row>
    <row r="10" spans="1:24" x14ac:dyDescent="0.45">
      <c r="A10" s="5">
        <v>43259</v>
      </c>
      <c r="B10" s="2">
        <v>892369</v>
      </c>
      <c r="C10" s="2">
        <v>9337</v>
      </c>
      <c r="D10" s="2">
        <v>52670</v>
      </c>
      <c r="F10" s="2">
        <v>34185</v>
      </c>
      <c r="G10" s="2">
        <v>86165</v>
      </c>
      <c r="H10" s="2">
        <v>366616</v>
      </c>
      <c r="I10" s="2">
        <v>53994</v>
      </c>
      <c r="J10" s="2">
        <v>230046</v>
      </c>
      <c r="K10" s="2">
        <v>24939</v>
      </c>
      <c r="L10" s="2">
        <v>34417</v>
      </c>
      <c r="O10">
        <f t="shared" si="0"/>
        <v>0</v>
      </c>
      <c r="Q10" s="1"/>
      <c r="R10" s="1"/>
      <c r="S10" s="1"/>
      <c r="T10" s="1"/>
      <c r="U10" s="1"/>
      <c r="V10" s="1"/>
      <c r="W10" s="1"/>
      <c r="X10" s="1"/>
    </row>
    <row r="11" spans="1:24" x14ac:dyDescent="0.45">
      <c r="A11" s="5">
        <v>43313</v>
      </c>
      <c r="B11" s="2">
        <v>912823</v>
      </c>
      <c r="C11" s="2">
        <v>8326</v>
      </c>
      <c r="D11" s="2">
        <v>52930</v>
      </c>
      <c r="F11" s="2">
        <v>35127</v>
      </c>
      <c r="G11" s="2">
        <v>86083</v>
      </c>
      <c r="H11" s="2">
        <v>371106</v>
      </c>
      <c r="I11" s="2">
        <v>53796</v>
      </c>
      <c r="J11" s="2">
        <v>240057</v>
      </c>
      <c r="K11" s="2">
        <v>24928</v>
      </c>
      <c r="L11" s="2">
        <v>40471</v>
      </c>
      <c r="O11">
        <f t="shared" si="0"/>
        <v>-1</v>
      </c>
      <c r="Q11" s="1"/>
      <c r="R11" s="1"/>
      <c r="S11" s="1"/>
      <c r="T11" s="1"/>
      <c r="U11" s="1"/>
      <c r="V11" s="1"/>
      <c r="W11" s="1"/>
      <c r="X11" s="1"/>
    </row>
    <row r="12" spans="1:24" x14ac:dyDescent="0.45">
      <c r="A12" s="5">
        <v>43383</v>
      </c>
      <c r="B12" s="2">
        <v>910528</v>
      </c>
      <c r="C12" s="2">
        <v>7130</v>
      </c>
      <c r="D12" s="2">
        <v>56415</v>
      </c>
      <c r="F12" s="2">
        <v>34144</v>
      </c>
      <c r="G12" s="2">
        <v>87011</v>
      </c>
      <c r="H12" s="2">
        <v>381306</v>
      </c>
      <c r="I12" s="2">
        <v>57185</v>
      </c>
      <c r="J12" s="2">
        <v>236852</v>
      </c>
      <c r="K12" s="2">
        <v>24939</v>
      </c>
      <c r="L12" s="2">
        <v>25546</v>
      </c>
      <c r="O12">
        <f t="shared" si="0"/>
        <v>0</v>
      </c>
      <c r="Q12" s="1"/>
      <c r="R12" s="1"/>
      <c r="S12" s="1"/>
      <c r="T12" s="1"/>
      <c r="U12" s="1"/>
      <c r="V12" s="1"/>
      <c r="W12" s="1"/>
      <c r="X12" s="1"/>
    </row>
    <row r="13" spans="1:24" x14ac:dyDescent="0.45">
      <c r="A13" s="5">
        <v>43466</v>
      </c>
      <c r="B13" s="2">
        <v>856377</v>
      </c>
      <c r="C13" s="2">
        <v>5243</v>
      </c>
      <c r="D13" s="2">
        <v>56495</v>
      </c>
      <c r="F13" s="2">
        <v>32350</v>
      </c>
      <c r="G13" s="2">
        <v>83917</v>
      </c>
      <c r="H13" s="2">
        <v>325113</v>
      </c>
      <c r="I13" s="2">
        <v>56811</v>
      </c>
      <c r="J13" s="2">
        <v>241378</v>
      </c>
      <c r="K13" s="2">
        <v>24935</v>
      </c>
      <c r="L13" s="2">
        <v>30135</v>
      </c>
      <c r="O13">
        <f t="shared" si="0"/>
        <v>0</v>
      </c>
      <c r="Q13" s="1"/>
      <c r="R13" s="1"/>
      <c r="S13" s="1"/>
      <c r="T13" s="1"/>
      <c r="U13" s="1"/>
      <c r="V13" s="1"/>
      <c r="W13" s="1"/>
      <c r="X13" s="1"/>
    </row>
    <row r="14" spans="1:24" x14ac:dyDescent="0.45">
      <c r="A14" s="5">
        <v>43558</v>
      </c>
      <c r="B14" s="2">
        <v>937138</v>
      </c>
      <c r="C14" s="2">
        <v>6566</v>
      </c>
      <c r="D14" s="2">
        <v>59113</v>
      </c>
      <c r="F14" s="2">
        <v>45290</v>
      </c>
      <c r="G14" s="2">
        <v>93492</v>
      </c>
      <c r="H14" s="2">
        <v>381130</v>
      </c>
      <c r="I14" s="2">
        <v>58469</v>
      </c>
      <c r="J14" s="2">
        <v>245820</v>
      </c>
      <c r="K14" s="2">
        <v>24989</v>
      </c>
      <c r="L14" s="2">
        <v>22269</v>
      </c>
      <c r="O14">
        <f t="shared" si="0"/>
        <v>0</v>
      </c>
      <c r="Q14" s="1"/>
    </row>
    <row r="15" spans="1:24" x14ac:dyDescent="0.45">
      <c r="A15" s="5">
        <v>43616</v>
      </c>
      <c r="B15" s="2">
        <v>926458</v>
      </c>
      <c r="C15" s="2">
        <v>5586</v>
      </c>
      <c r="D15" s="2">
        <v>60415</v>
      </c>
      <c r="F15" s="2">
        <v>45208</v>
      </c>
      <c r="G15" s="2">
        <v>90332</v>
      </c>
      <c r="H15" s="2">
        <v>360743</v>
      </c>
      <c r="I15" s="2">
        <v>59753</v>
      </c>
      <c r="J15" s="2">
        <v>249769</v>
      </c>
      <c r="K15" s="2">
        <v>24997</v>
      </c>
      <c r="L15" s="2">
        <f>10189+19466</f>
        <v>29655</v>
      </c>
      <c r="O15">
        <f t="shared" si="0"/>
        <v>0</v>
      </c>
      <c r="Q15" s="1"/>
    </row>
    <row r="16" spans="1:24" x14ac:dyDescent="0.45">
      <c r="A16" s="5">
        <v>43686</v>
      </c>
      <c r="B16" s="2">
        <v>928456</v>
      </c>
      <c r="C16" s="2">
        <v>6034</v>
      </c>
      <c r="D16" s="2">
        <v>63017</v>
      </c>
      <c r="F16" s="2">
        <v>47047</v>
      </c>
      <c r="G16" s="2">
        <v>92534</v>
      </c>
      <c r="H16" s="2">
        <v>365402</v>
      </c>
      <c r="I16" s="2">
        <v>60930</v>
      </c>
      <c r="J16" s="2">
        <v>234991</v>
      </c>
      <c r="K16" s="2">
        <v>0</v>
      </c>
      <c r="L16" s="2">
        <v>58501</v>
      </c>
      <c r="O16">
        <f t="shared" si="0"/>
        <v>0</v>
      </c>
      <c r="Q16" s="1"/>
    </row>
    <row r="17" spans="1:17" x14ac:dyDescent="0.45">
      <c r="A17" s="5">
        <v>43788</v>
      </c>
      <c r="B17" s="2">
        <v>964244</v>
      </c>
      <c r="C17" s="2">
        <v>7272</v>
      </c>
      <c r="D17" s="2">
        <v>68660</v>
      </c>
      <c r="F17" s="2">
        <v>41525</v>
      </c>
      <c r="G17" s="2">
        <f>11010+99475</f>
        <v>110485</v>
      </c>
      <c r="H17" s="2">
        <v>388443</v>
      </c>
      <c r="I17" s="2">
        <v>67393</v>
      </c>
      <c r="J17" s="2">
        <v>234537</v>
      </c>
      <c r="K17" s="2">
        <v>25328</v>
      </c>
      <c r="L17" s="2">
        <v>20601</v>
      </c>
      <c r="O17">
        <f t="shared" si="0"/>
        <v>0</v>
      </c>
      <c r="Q17" s="1"/>
    </row>
    <row r="18" spans="1:17" x14ac:dyDescent="0.45">
      <c r="A18" s="5">
        <v>43830</v>
      </c>
      <c r="B18" s="16">
        <v>984125</v>
      </c>
      <c r="C18" s="2">
        <v>7399</v>
      </c>
      <c r="D18" s="2">
        <v>69098</v>
      </c>
      <c r="F18" s="2">
        <v>41318</v>
      </c>
      <c r="G18" s="2">
        <f>11427+99188</f>
        <v>110615</v>
      </c>
      <c r="H18" s="2">
        <v>396478</v>
      </c>
      <c r="I18" s="2">
        <v>67154</v>
      </c>
      <c r="J18" s="2">
        <v>234310</v>
      </c>
      <c r="K18" s="2">
        <v>25299</v>
      </c>
      <c r="L18" s="2">
        <f>32453</f>
        <v>32453</v>
      </c>
      <c r="O18">
        <f>B18-SUM(C18:L18)</f>
        <v>1</v>
      </c>
      <c r="Q18" s="1"/>
    </row>
    <row r="19" spans="1:17" x14ac:dyDescent="0.45">
      <c r="A19" s="5">
        <v>43896</v>
      </c>
      <c r="B19" s="2">
        <v>964675</v>
      </c>
      <c r="C19" s="2">
        <v>6483</v>
      </c>
      <c r="D19" s="2">
        <v>77073</v>
      </c>
      <c r="F19" s="2">
        <v>39899</v>
      </c>
      <c r="G19" s="2">
        <f>10121+90141</f>
        <v>100262</v>
      </c>
      <c r="H19" s="2">
        <v>371114</v>
      </c>
      <c r="I19" s="2">
        <v>74943</v>
      </c>
      <c r="J19" s="2">
        <v>244073</v>
      </c>
      <c r="K19" s="2">
        <f>25491</f>
        <v>25491</v>
      </c>
      <c r="L19" s="2">
        <v>25339</v>
      </c>
      <c r="O19">
        <f t="shared" si="0"/>
        <v>-2</v>
      </c>
      <c r="Q19" s="1"/>
    </row>
    <row r="20" spans="1:17" x14ac:dyDescent="0.45">
      <c r="A20" s="5">
        <v>43924</v>
      </c>
      <c r="B20" s="2">
        <v>853941</v>
      </c>
      <c r="C20" s="2">
        <v>3751</v>
      </c>
      <c r="D20" s="2">
        <v>69822</v>
      </c>
      <c r="F20" s="2">
        <v>28436</v>
      </c>
      <c r="G20" s="2">
        <f>8027+74631</f>
        <v>82658</v>
      </c>
      <c r="H20" s="2">
        <v>324969</v>
      </c>
      <c r="I20" s="2">
        <v>73925</v>
      </c>
      <c r="J20" s="2">
        <v>218042</v>
      </c>
      <c r="K20" s="2">
        <v>25582</v>
      </c>
      <c r="L20" s="2">
        <v>26757</v>
      </c>
      <c r="O20">
        <f t="shared" si="0"/>
        <v>-1</v>
      </c>
      <c r="Q20" s="1"/>
    </row>
    <row r="21" spans="1:17" x14ac:dyDescent="0.45">
      <c r="A21" s="5">
        <v>43982</v>
      </c>
      <c r="B21" s="2">
        <v>963957</v>
      </c>
      <c r="C21" s="2">
        <v>8076</v>
      </c>
      <c r="D21" s="2">
        <v>81852</v>
      </c>
      <c r="F21" s="2">
        <v>41447</v>
      </c>
      <c r="G21" s="2">
        <f>9508+89623</f>
        <v>99131</v>
      </c>
      <c r="H21" s="2">
        <v>389712</v>
      </c>
      <c r="I21" s="2">
        <v>80636</v>
      </c>
      <c r="J21" s="2">
        <v>215950</v>
      </c>
      <c r="K21" s="2">
        <v>25905</v>
      </c>
      <c r="L21" s="2">
        <f>1654+19592</f>
        <v>21246</v>
      </c>
      <c r="O21">
        <f t="shared" si="0"/>
        <v>2</v>
      </c>
    </row>
    <row r="22" spans="1:17" x14ac:dyDescent="0.45">
      <c r="A22" s="5">
        <v>44146</v>
      </c>
      <c r="B22" s="2">
        <v>1067060</v>
      </c>
      <c r="C22" s="2">
        <v>11298</v>
      </c>
      <c r="D22" s="2">
        <v>83700</v>
      </c>
      <c r="F22" s="2">
        <v>44943</v>
      </c>
      <c r="G22" s="2">
        <f>11047+103950</f>
        <v>114997</v>
      </c>
      <c r="H22" s="2">
        <v>462234</v>
      </c>
      <c r="I22" s="2">
        <v>82891</v>
      </c>
      <c r="J22" s="2">
        <v>215348</v>
      </c>
      <c r="K22" s="2">
        <v>25747</v>
      </c>
      <c r="L22" s="2">
        <v>25903</v>
      </c>
      <c r="O22">
        <f t="shared" si="0"/>
        <v>-1</v>
      </c>
    </row>
    <row r="23" spans="1:17" x14ac:dyDescent="0.45">
      <c r="A23" s="5">
        <v>44165</v>
      </c>
      <c r="B23" s="2">
        <v>1090858.6200000001</v>
      </c>
      <c r="C23" s="2">
        <v>11616</v>
      </c>
      <c r="D23" s="2">
        <v>85857.600000000006</v>
      </c>
      <c r="F23" s="2">
        <v>44964.15</v>
      </c>
      <c r="G23" s="2">
        <v>109792.49</v>
      </c>
      <c r="H23" s="2">
        <v>441311.35</v>
      </c>
      <c r="I23" s="2">
        <v>95462.58</v>
      </c>
      <c r="J23" s="2">
        <v>249825.8</v>
      </c>
      <c r="K23" s="2">
        <v>25708.13</v>
      </c>
      <c r="L23" s="2">
        <v>26321</v>
      </c>
      <c r="O23">
        <f t="shared" si="0"/>
        <v>-0.4799999997485429</v>
      </c>
      <c r="Q23" s="17"/>
    </row>
    <row r="24" spans="1:17" x14ac:dyDescent="0.45">
      <c r="A24" s="5">
        <v>43997</v>
      </c>
      <c r="B24" s="20">
        <f>N24</f>
        <v>1192295.69</v>
      </c>
      <c r="C24" s="18">
        <v>13868</v>
      </c>
      <c r="D24" s="18">
        <v>82633.600000000006</v>
      </c>
      <c r="E24" s="18">
        <v>13720.2</v>
      </c>
      <c r="F24" s="18">
        <v>55862.6</v>
      </c>
      <c r="G24" s="18">
        <v>114105.31</v>
      </c>
      <c r="H24" s="18">
        <v>516114.52</v>
      </c>
      <c r="I24" s="18">
        <v>97011.98</v>
      </c>
      <c r="J24" s="18">
        <v>242249.42</v>
      </c>
      <c r="K24" s="18">
        <v>25457.73</v>
      </c>
      <c r="L24" s="18">
        <v>21445.41</v>
      </c>
      <c r="M24" s="18">
        <v>9826.92</v>
      </c>
      <c r="N24" s="18">
        <v>1192295.69</v>
      </c>
      <c r="O24" s="43">
        <f>B24-SUM(C24:M24)</f>
        <v>0</v>
      </c>
    </row>
    <row r="25" spans="1:17" x14ac:dyDescent="0.45">
      <c r="B25" s="2" t="s">
        <v>174</v>
      </c>
    </row>
    <row r="26" spans="1:17" x14ac:dyDescent="0.45">
      <c r="A26" s="5">
        <v>44901</v>
      </c>
      <c r="B26" s="2">
        <f>'All-Accounts-Positions-2022-12-'!$G15</f>
        <v>1006324.88</v>
      </c>
      <c r="C26" s="2">
        <f>'All-Accounts-Positions-2022-12-'!$G5</f>
        <v>12750</v>
      </c>
      <c r="D26" s="2">
        <f>'All-Accounts-Positions-2022-12-'!$G6</f>
        <v>67700.899999999994</v>
      </c>
      <c r="E26" s="2">
        <f>'All-Accounts-Positions-2022-12-'!$G7</f>
        <v>11107.2</v>
      </c>
      <c r="F26" s="2">
        <f>'All-Accounts-Positions-2022-12-'!$G8</f>
        <v>31444.82</v>
      </c>
      <c r="G26" s="2">
        <f>'All-Accounts-Positions-2022-12-'!$G9</f>
        <v>94656.59</v>
      </c>
      <c r="H26" s="2">
        <f>'All-Accounts-Positions-2022-12-'!$G10</f>
        <v>411823.87</v>
      </c>
      <c r="I26" s="2">
        <f>'All-Accounts-Positions-2022-12-'!$G11</f>
        <v>118794.92</v>
      </c>
      <c r="J26" s="2">
        <f>'All-Accounts-Positions-2022-12-'!$G12</f>
        <v>208533.1</v>
      </c>
      <c r="K26" s="2">
        <v>0</v>
      </c>
      <c r="L26" s="2">
        <f>'All-Accounts-Positions-2022-12-'!$G13</f>
        <v>21643.119999999999</v>
      </c>
      <c r="M26" s="18">
        <f>'All-Accounts-Positions-2022-12-'!$G14</f>
        <v>27870.36</v>
      </c>
      <c r="N26" s="6">
        <f>SUM(C26:M26)</f>
        <v>1006324.88</v>
      </c>
      <c r="O26" s="44">
        <f>B26-SUM(C26:M26)</f>
        <v>0</v>
      </c>
    </row>
    <row r="27" spans="1:17" x14ac:dyDescent="0.45">
      <c r="A27" s="5">
        <v>44908</v>
      </c>
      <c r="B27" s="2">
        <f>'Corporate-Positions-2022-12-13-'!G14</f>
        <v>1006633.59</v>
      </c>
      <c r="C27" s="2">
        <f>'Corporate-Positions-2022-12-13-'!G4</f>
        <v>14479.36</v>
      </c>
      <c r="D27" s="2">
        <f>'Corporate-Positions-2022-12-13-'!G5</f>
        <v>68819.759999999995</v>
      </c>
      <c r="E27" s="2">
        <f>'Corporate-Positions-2022-12-13-'!G6</f>
        <v>11101.35</v>
      </c>
      <c r="F27" s="2">
        <f>'Corporate-Positions-2022-12-13-'!G7</f>
        <v>36004.71</v>
      </c>
      <c r="G27" s="2">
        <f>'Corporate-Positions-2022-12-13-'!G8</f>
        <v>89838.96</v>
      </c>
      <c r="H27" s="2">
        <f>'Corporate-Positions-2022-12-13-'!G9</f>
        <v>398657.23</v>
      </c>
      <c r="I27" s="2">
        <f>'Corporate-Positions-2022-12-13-'!G10</f>
        <v>120050.66</v>
      </c>
      <c r="J27" s="2">
        <f>'Corporate-Positions-2022-12-13-'!G11</f>
        <v>210898</v>
      </c>
      <c r="K27" s="2">
        <v>0</v>
      </c>
      <c r="L27" s="2">
        <f>'Corporate-Positions-2022-12-13-'!G12</f>
        <v>21643.119999999999</v>
      </c>
      <c r="M27" s="18">
        <f>'Corporate-Positions-2022-12-13-'!G13</f>
        <v>35140.44</v>
      </c>
      <c r="N27" s="6">
        <f>SUM(C27:M27)</f>
        <v>1006633.5900000001</v>
      </c>
      <c r="O27" s="44">
        <f>B27-SUM(C27:M27)</f>
        <v>0</v>
      </c>
    </row>
    <row r="28" spans="1:17" x14ac:dyDescent="0.45">
      <c r="A28" s="5"/>
      <c r="B28" s="2" t="s">
        <v>147</v>
      </c>
      <c r="M28" s="18"/>
      <c r="N28" s="6"/>
      <c r="O28" s="44"/>
    </row>
    <row r="29" spans="1:17" x14ac:dyDescent="0.45">
      <c r="A29" s="5">
        <v>45270</v>
      </c>
      <c r="B29" s="2">
        <f>'Corporate-Positions-2023-12-10-'!G15</f>
        <v>1040904.16</v>
      </c>
      <c r="C29" s="2">
        <f>'Corporate-Positions-2023-12-10-'!G5</f>
        <v>13829.76</v>
      </c>
      <c r="D29" s="2">
        <f>'Corporate-Positions-2023-12-10-'!G6</f>
        <v>70750.240000000005</v>
      </c>
      <c r="E29" s="2">
        <f>'Corporate-Positions-2023-12-10-'!G7</f>
        <v>12164.1</v>
      </c>
      <c r="F29" s="2">
        <f>'Corporate-Positions-2023-12-10-'!G8</f>
        <v>34818.29</v>
      </c>
      <c r="G29" s="2">
        <f>'Corporate-Positions-2023-12-10-'!G10</f>
        <v>97616.84</v>
      </c>
      <c r="H29" s="2">
        <f>'Corporate-Positions-2023-12-10-'!G12</f>
        <v>462395.5</v>
      </c>
      <c r="I29" s="2">
        <f>'Corporate-Positions-2023-12-10-'!G11</f>
        <v>115179.65</v>
      </c>
      <c r="J29" s="2">
        <f>'Corporate-Positions-2023-12-10-'!G9</f>
        <v>206665.94</v>
      </c>
      <c r="L29" s="2">
        <f>'Corporate-Positions-2023-12-10-'!G13</f>
        <v>12535.03</v>
      </c>
      <c r="M29" s="18">
        <f>'Corporate-Positions-2023-12-10-'!G14</f>
        <v>14948.81</v>
      </c>
      <c r="N29" s="6">
        <f>SUM(C29:M29)</f>
        <v>1040904.1600000001</v>
      </c>
      <c r="O29" s="44">
        <f>B29-SUM(C29:M29)</f>
        <v>0</v>
      </c>
    </row>
    <row r="30" spans="1:17" x14ac:dyDescent="0.45">
      <c r="A30" s="5">
        <v>45272</v>
      </c>
      <c r="B30" s="2">
        <f>'Corporate-Positions-2023-12-12-'!G15</f>
        <v>1042600.54</v>
      </c>
      <c r="C30" s="2">
        <f>'Corporate-Positions-2023-12-12-'!G5</f>
        <v>15256.93</v>
      </c>
      <c r="D30" s="2">
        <f>'Corporate-Positions-2023-12-12-'!G6</f>
        <v>78700.98</v>
      </c>
      <c r="E30" s="2">
        <f>'Corporate-Positions-2023-12-12-'!G7</f>
        <v>12172.88</v>
      </c>
      <c r="F30" s="2">
        <f>'Corporate-Positions-2023-12-12-'!G8</f>
        <v>36309.870000000003</v>
      </c>
      <c r="G30" s="2">
        <f>'Corporate-Positions-2023-12-12-'!G10</f>
        <v>92144.320000000007</v>
      </c>
      <c r="H30" s="2">
        <f>'Corporate-Positions-2023-12-12-'!G12</f>
        <v>418205.12</v>
      </c>
      <c r="I30" s="2">
        <f>'Corporate-Positions-2023-12-12-'!G11</f>
        <v>122966.06</v>
      </c>
      <c r="J30" s="2">
        <f>'Corporate-Positions-2023-12-12-'!G9</f>
        <v>214330.82</v>
      </c>
      <c r="L30" s="2">
        <f>'Corporate-Positions-2023-12-12-'!G13</f>
        <v>22535.03</v>
      </c>
      <c r="M30" s="18">
        <f>'Corporate-Positions-2023-12-12-'!G14</f>
        <v>29978.53</v>
      </c>
      <c r="N30" s="6">
        <f>SUM(C30:M30)</f>
        <v>1042600.54</v>
      </c>
      <c r="O30" s="44">
        <f>B30-SUM(C30:M30)</f>
        <v>0</v>
      </c>
    </row>
    <row r="31" spans="1:17" x14ac:dyDescent="0.45">
      <c r="A31" s="5">
        <v>45645</v>
      </c>
      <c r="B31" s="2">
        <f>'Corporate-Positions-2024-12-19-'!G15</f>
        <v>1179808.1499999999</v>
      </c>
      <c r="C31" s="2">
        <f>'Corporate-Positions-2024-12-19-'!G5</f>
        <v>13729.99</v>
      </c>
      <c r="D31" s="2">
        <f>'Corporate-Positions-2024-12-19-'!G6</f>
        <v>78151.98</v>
      </c>
      <c r="E31" s="2">
        <f>'Corporate-Positions-2024-12-19-'!G7</f>
        <v>12536.55</v>
      </c>
      <c r="F31" s="2">
        <f>'Corporate-Positions-2024-12-19-'!G8</f>
        <v>38710.22</v>
      </c>
      <c r="G31" s="2">
        <f>'Corporate-Positions-2024-12-19-'!G10</f>
        <v>96053.97</v>
      </c>
      <c r="H31" s="2">
        <f>'Corporate-Positions-2024-12-19-'!G12</f>
        <v>530176.52</v>
      </c>
      <c r="I31" s="2">
        <f>'Corporate-Positions-2024-12-19-'!G11</f>
        <v>122359.12</v>
      </c>
      <c r="J31" s="2">
        <f>'Corporate-Positions-2024-12-19-'!G9</f>
        <v>214819.04</v>
      </c>
      <c r="L31" s="2">
        <f>'Corporate-Positions-2024-12-19-'!G13</f>
        <v>23648.38</v>
      </c>
      <c r="M31" s="18">
        <f>'Corporate-Positions-2024-12-19-'!G14</f>
        <v>49622.38</v>
      </c>
      <c r="N31" s="6">
        <f>SUM(C31:M31)</f>
        <v>1179808.1499999997</v>
      </c>
      <c r="O31" s="44">
        <f>B31-SUM(C31:M31)</f>
        <v>0</v>
      </c>
    </row>
    <row r="32" spans="1:17" x14ac:dyDescent="0.45">
      <c r="A32" s="5">
        <v>45646</v>
      </c>
      <c r="B32" s="2">
        <f>'Corporate-Positions-2024-12-20-'!G15</f>
        <v>1170345.25</v>
      </c>
      <c r="C32" s="2">
        <f>'Corporate-Positions-2024-12-20-'!G5</f>
        <v>16940</v>
      </c>
      <c r="D32" s="2">
        <f>'Corporate-Positions-2024-12-20-'!G6</f>
        <v>96923.88</v>
      </c>
      <c r="E32" s="2">
        <f>'Corporate-Positions-2024-12-20-'!G7</f>
        <v>12337.65</v>
      </c>
      <c r="F32" s="2">
        <f>'Corporate-Positions-2024-12-20-'!G8</f>
        <v>42010.78</v>
      </c>
      <c r="G32" s="2">
        <f>'Corporate-Positions-2024-12-20-'!G10</f>
        <v>101904.72</v>
      </c>
      <c r="H32" s="2">
        <f>'Corporate-Positions-2024-12-20-'!G12</f>
        <v>476525.51</v>
      </c>
      <c r="I32" s="2">
        <f>'Corporate-Positions-2024-12-20-'!G11</f>
        <v>140916.35</v>
      </c>
      <c r="J32" s="2">
        <f>'Corporate-Positions-2024-12-20-'!G9</f>
        <v>233374.93</v>
      </c>
      <c r="L32" s="2">
        <f>'Corporate-Positions-2024-12-20-'!G13</f>
        <v>23648.38</v>
      </c>
      <c r="M32" s="18">
        <f>'Corporate-Positions-2024-12-20-'!G14</f>
        <v>25763.05</v>
      </c>
      <c r="N32" s="6">
        <f>SUM(C32:M32)</f>
        <v>1170345.25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topLeftCell="A31" workbookViewId="0">
      <pane ySplit="585" topLeftCell="A7" activePane="bottomLeft"/>
      <selection activeCell="O31" sqref="O31"/>
      <selection pane="bottomLeft" activeCell="A28" sqref="A28"/>
    </sheetView>
  </sheetViews>
  <sheetFormatPr defaultRowHeight="14.25" x14ac:dyDescent="0.45"/>
  <cols>
    <col min="1" max="1" width="11.3984375" customWidth="1"/>
    <col min="2" max="2" width="12.1328125" bestFit="1" customWidth="1"/>
    <col min="3" max="3" width="11.1328125" bestFit="1" customWidth="1"/>
    <col min="4" max="4" width="11.265625" customWidth="1"/>
    <col min="5" max="5" width="11.1328125" bestFit="1" customWidth="1"/>
    <col min="6" max="6" width="12.1328125" bestFit="1" customWidth="1"/>
    <col min="7" max="7" width="11.1328125" bestFit="1" customWidth="1"/>
    <col min="8" max="8" width="11.59765625" customWidth="1"/>
    <col min="10" max="10" width="17" customWidth="1"/>
    <col min="16" max="16" width="11.265625" customWidth="1"/>
    <col min="17" max="19" width="8.86328125" customWidth="1"/>
    <col min="21" max="21" width="8.86328125" customWidth="1"/>
  </cols>
  <sheetData>
    <row r="1" spans="1:19" x14ac:dyDescent="0.45">
      <c r="B1" t="s">
        <v>7</v>
      </c>
      <c r="C1" t="s">
        <v>11</v>
      </c>
      <c r="D1" t="s">
        <v>12</v>
      </c>
      <c r="E1" t="s">
        <v>8</v>
      </c>
      <c r="F1" t="s">
        <v>9</v>
      </c>
      <c r="G1" t="s">
        <v>10</v>
      </c>
      <c r="H1" t="s">
        <v>120</v>
      </c>
      <c r="J1" t="s">
        <v>11</v>
      </c>
      <c r="K1" t="s">
        <v>12</v>
      </c>
      <c r="L1" t="s">
        <v>8</v>
      </c>
      <c r="M1" t="s">
        <v>9</v>
      </c>
      <c r="N1" t="s">
        <v>10</v>
      </c>
      <c r="O1" t="s">
        <v>6</v>
      </c>
    </row>
    <row r="2" spans="1:19" x14ac:dyDescent="0.45">
      <c r="A2" t="s">
        <v>54</v>
      </c>
      <c r="J2">
        <v>40</v>
      </c>
      <c r="K2">
        <v>10</v>
      </c>
      <c r="L2">
        <v>5</v>
      </c>
      <c r="M2">
        <v>40</v>
      </c>
      <c r="N2">
        <v>5</v>
      </c>
    </row>
    <row r="3" spans="1:19" x14ac:dyDescent="0.45">
      <c r="A3" s="4">
        <f>data!A3</f>
        <v>42510</v>
      </c>
      <c r="B3" s="2">
        <f>data!B3</f>
        <v>745172</v>
      </c>
      <c r="C3" s="2">
        <f>data!H3</f>
        <v>340481</v>
      </c>
      <c r="D3" s="2">
        <f>data!G3</f>
        <v>63102</v>
      </c>
      <c r="E3" s="2">
        <f>data!C3+data!F3</f>
        <v>9815</v>
      </c>
      <c r="F3" s="2">
        <f>data!D3+data!J3+data!I3</f>
        <v>235941</v>
      </c>
      <c r="G3" s="2">
        <f>data!K3+data!L3</f>
        <v>95834</v>
      </c>
      <c r="J3" s="1">
        <f t="shared" ref="J3:J7" si="0">C3/$B3</f>
        <v>0.45691598718148291</v>
      </c>
      <c r="K3" s="1">
        <f>D3/$B3</f>
        <v>8.468112060034462E-2</v>
      </c>
      <c r="L3" s="1">
        <f>E3/$B3</f>
        <v>1.3171455717606136E-2</v>
      </c>
      <c r="M3" s="1">
        <f>F3/$B3</f>
        <v>0.31662622857541617</v>
      </c>
      <c r="N3" s="1">
        <f>G3/$B3</f>
        <v>0.12860654989720494</v>
      </c>
      <c r="O3" s="3">
        <f>SUM(J3:N3)</f>
        <v>1.0000013419720548</v>
      </c>
      <c r="P3" s="1"/>
      <c r="R3" s="1"/>
      <c r="S3" s="1"/>
    </row>
    <row r="4" spans="1:19" x14ac:dyDescent="0.45">
      <c r="A4" s="5">
        <f>data!A4</f>
        <v>42551</v>
      </c>
      <c r="B4" s="2">
        <f>data!B4</f>
        <v>764449</v>
      </c>
      <c r="C4" s="2">
        <f>data!H4</f>
        <v>327613</v>
      </c>
      <c r="D4" s="2">
        <f>data!G4</f>
        <v>74421</v>
      </c>
      <c r="E4" s="2">
        <f>data!C4+data!F4</f>
        <v>29905</v>
      </c>
      <c r="F4" s="2">
        <f>data!D4+data!J4+data!I4</f>
        <v>293385</v>
      </c>
      <c r="G4" s="2">
        <f>data!K4+data!L4</f>
        <v>39126</v>
      </c>
      <c r="J4" s="1">
        <f t="shared" si="0"/>
        <v>0.42856096351751394</v>
      </c>
      <c r="K4" s="1">
        <f t="shared" ref="K4" si="1">D4/$B4</f>
        <v>9.7352472172767573E-2</v>
      </c>
      <c r="L4" s="1">
        <f t="shared" ref="L4" si="2">E4/$B4</f>
        <v>3.9119679664699675E-2</v>
      </c>
      <c r="M4" s="1">
        <f t="shared" ref="M4" si="3">F4/$B4</f>
        <v>0.38378623034368547</v>
      </c>
      <c r="N4" s="1">
        <f t="shared" ref="N4" si="4">G4/$B4</f>
        <v>5.1181962433072707E-2</v>
      </c>
      <c r="O4" s="3">
        <f>SUM(J4:N4)</f>
        <v>1.0000013081317394</v>
      </c>
      <c r="P4" s="1"/>
      <c r="R4" s="1"/>
      <c r="S4" s="1"/>
    </row>
    <row r="5" spans="1:19" x14ac:dyDescent="0.45">
      <c r="A5" s="5">
        <f>data!A5</f>
        <v>42766</v>
      </c>
      <c r="B5" s="2">
        <f>data!B5</f>
        <v>770706</v>
      </c>
      <c r="C5" s="2">
        <f>data!H5</f>
        <v>339100</v>
      </c>
      <c r="D5" s="2">
        <f>data!G5</f>
        <v>75345</v>
      </c>
      <c r="E5" s="2">
        <f>data!C5+data!F5</f>
        <v>28417</v>
      </c>
      <c r="F5" s="2">
        <f>data!D5+data!J5+data!I5</f>
        <v>281615</v>
      </c>
      <c r="G5" s="2">
        <f>data!K5+data!L5</f>
        <v>46230</v>
      </c>
      <c r="J5" s="1">
        <f t="shared" si="0"/>
        <v>0.43998619447623349</v>
      </c>
      <c r="K5" s="1">
        <f t="shared" ref="K5" si="5">D5/$B5</f>
        <v>9.7761013927489857E-2</v>
      </c>
      <c r="L5" s="1">
        <f t="shared" ref="L5" si="6">E5/$B5</f>
        <v>3.6871388051993886E-2</v>
      </c>
      <c r="M5" s="1">
        <f t="shared" ref="M5" si="7">F5/$B5</f>
        <v>0.36539873829968883</v>
      </c>
      <c r="N5" s="1">
        <f t="shared" ref="N5" si="8">G5/$B5</f>
        <v>5.9983962756226111E-2</v>
      </c>
      <c r="O5" s="3">
        <f>SUM(J5:N5)</f>
        <v>1.0000012975116321</v>
      </c>
      <c r="P5" s="1"/>
      <c r="R5" s="1"/>
      <c r="S5" s="1"/>
    </row>
    <row r="6" spans="1:19" x14ac:dyDescent="0.45">
      <c r="A6" s="5">
        <f>data!A6</f>
        <v>42847</v>
      </c>
      <c r="B6" s="2">
        <f>data!B6</f>
        <v>792950</v>
      </c>
      <c r="C6" s="2">
        <f>data!H6</f>
        <v>337177</v>
      </c>
      <c r="D6" s="2">
        <f>data!G6</f>
        <v>80846</v>
      </c>
      <c r="E6" s="2">
        <f>data!C6+data!F6</f>
        <v>37827</v>
      </c>
      <c r="F6" s="2">
        <f>data!D6+data!J6+data!I6</f>
        <v>304150</v>
      </c>
      <c r="G6" s="2">
        <f>data!K6+data!L6</f>
        <v>32949</v>
      </c>
      <c r="J6" s="1">
        <f t="shared" si="0"/>
        <v>0.42521848792483763</v>
      </c>
      <c r="K6" s="1">
        <f t="shared" ref="K6" si="9">D6/$B6</f>
        <v>0.10195598713664165</v>
      </c>
      <c r="L6" s="1">
        <f t="shared" ref="L6" si="10">E6/$B6</f>
        <v>4.770414275805536E-2</v>
      </c>
      <c r="M6" s="1">
        <f t="shared" ref="M6" si="11">F6/$B6</f>
        <v>0.38356769027050885</v>
      </c>
      <c r="N6" s="1">
        <f t="shared" ref="N6" si="12">G6/$B6</f>
        <v>4.1552430796393217E-2</v>
      </c>
      <c r="O6" s="3">
        <f>SUM(J6:N6)</f>
        <v>0.99999873888643676</v>
      </c>
      <c r="P6" s="1"/>
      <c r="R6" s="1"/>
      <c r="S6" s="1"/>
    </row>
    <row r="7" spans="1:19" x14ac:dyDescent="0.45">
      <c r="A7" s="5">
        <f>data!A7</f>
        <v>43022</v>
      </c>
      <c r="B7" s="2">
        <f>data!B7</f>
        <v>860788</v>
      </c>
      <c r="C7" s="2">
        <f>data!H7</f>
        <v>356394</v>
      </c>
      <c r="D7" s="2">
        <f>data!G7</f>
        <v>92289</v>
      </c>
      <c r="E7" s="2">
        <f>data!C7+data!F7</f>
        <v>37804</v>
      </c>
      <c r="F7" s="2">
        <f>data!D7+data!J7+data!I7</f>
        <v>280481</v>
      </c>
      <c r="G7" s="2">
        <f>data!K7+data!L7</f>
        <v>93822</v>
      </c>
      <c r="J7" s="1">
        <f t="shared" si="0"/>
        <v>0.41403225881401695</v>
      </c>
      <c r="K7" s="1">
        <f t="shared" ref="K7" si="13">D7/$B7</f>
        <v>0.10721455224747557</v>
      </c>
      <c r="L7" s="1">
        <f t="shared" ref="L7" si="14">E7/$B7</f>
        <v>4.3917898483714919E-2</v>
      </c>
      <c r="M7" s="1">
        <f t="shared" ref="M7" si="15">F7/$B7</f>
        <v>0.32584213534575296</v>
      </c>
      <c r="N7" s="1">
        <f t="shared" ref="N7" si="16">G7/$B7</f>
        <v>0.10899547856150411</v>
      </c>
      <c r="O7" s="3">
        <f t="shared" ref="O7:O8" si="17">SUM(J7:N7)</f>
        <v>1.0000023234524646</v>
      </c>
      <c r="P7" s="1"/>
      <c r="R7" s="1"/>
      <c r="S7" s="1"/>
    </row>
    <row r="8" spans="1:19" x14ac:dyDescent="0.45">
      <c r="A8" s="5">
        <v>43100</v>
      </c>
      <c r="B8" s="2">
        <f>data!B8</f>
        <v>881051</v>
      </c>
      <c r="C8" s="2">
        <f>data!H8</f>
        <v>367855</v>
      </c>
      <c r="D8" s="2">
        <f>data!G8</f>
        <v>85919</v>
      </c>
      <c r="E8" s="2">
        <f>data!C8+data!F8</f>
        <v>37705</v>
      </c>
      <c r="F8" s="2">
        <f>data!D8+data!J8+data!I8</f>
        <v>334294</v>
      </c>
      <c r="G8" s="2">
        <f>data!K8+data!L8</f>
        <v>55279</v>
      </c>
      <c r="J8" s="1">
        <f t="shared" ref="J8" si="18">C8/$B8</f>
        <v>0.417518395643385</v>
      </c>
      <c r="K8" s="1">
        <f t="shared" ref="K8" si="19">D8/$B8</f>
        <v>9.7518758845969195E-2</v>
      </c>
      <c r="L8" s="1">
        <f t="shared" ref="L8" si="20">E8/$B8</f>
        <v>4.2795479489836571E-2</v>
      </c>
      <c r="M8" s="1">
        <f t="shared" ref="M8" si="21">F8/$B8</f>
        <v>0.37942638961876213</v>
      </c>
      <c r="N8" s="1">
        <f t="shared" ref="N8" si="22">G8/$B8</f>
        <v>6.2742111410122689E-2</v>
      </c>
      <c r="O8" s="3">
        <f t="shared" si="17"/>
        <v>1.0000011350080755</v>
      </c>
      <c r="P8" s="1"/>
      <c r="R8" s="1"/>
      <c r="S8" s="1"/>
    </row>
    <row r="9" spans="1:19" x14ac:dyDescent="0.45">
      <c r="A9" s="5">
        <v>43148</v>
      </c>
      <c r="B9" s="2">
        <f>data!B9</f>
        <v>879063</v>
      </c>
      <c r="C9" s="2">
        <f>data!H9</f>
        <v>355502</v>
      </c>
      <c r="D9" s="2">
        <f>data!G9</f>
        <v>87235</v>
      </c>
      <c r="E9" s="2">
        <f>data!C9+data!F9</f>
        <v>40412</v>
      </c>
      <c r="F9" s="2">
        <f>data!D9+data!J9+data!I9</f>
        <v>339554</v>
      </c>
      <c r="G9" s="2">
        <f>data!K9+data!L9</f>
        <v>56359</v>
      </c>
      <c r="J9" s="1">
        <f t="shared" ref="J9" si="23">C9/$B9</f>
        <v>0.40441015035327388</v>
      </c>
      <c r="K9" s="1">
        <f t="shared" ref="K9" si="24">D9/$B9</f>
        <v>9.9236345972927992E-2</v>
      </c>
      <c r="L9" s="1">
        <f t="shared" ref="L9" si="25">E9/$B9</f>
        <v>4.5971676660262119E-2</v>
      </c>
      <c r="M9" s="1">
        <f t="shared" ref="M9" si="26">F9/$B9</f>
        <v>0.38626810592642391</v>
      </c>
      <c r="N9" s="1">
        <f t="shared" ref="N9" si="27">G9/$B9</f>
        <v>6.4112583512216992E-2</v>
      </c>
      <c r="O9" s="3">
        <f t="shared" ref="O9" si="28">SUM(J9:N9)</f>
        <v>0.99999886242510483</v>
      </c>
      <c r="P9" s="1"/>
      <c r="R9" s="1"/>
      <c r="S9" s="1"/>
    </row>
    <row r="10" spans="1:19" x14ac:dyDescent="0.45">
      <c r="A10" s="5">
        <f>data!A10</f>
        <v>43259</v>
      </c>
      <c r="B10" s="2">
        <f>data!B10</f>
        <v>892369</v>
      </c>
      <c r="C10" s="2">
        <f>data!H10</f>
        <v>366616</v>
      </c>
      <c r="D10" s="2">
        <f>data!G10</f>
        <v>86165</v>
      </c>
      <c r="E10" s="2">
        <f>data!C10+data!F10</f>
        <v>43522</v>
      </c>
      <c r="F10" s="2">
        <f>data!D10+data!J10+data!I10</f>
        <v>336710</v>
      </c>
      <c r="G10" s="2">
        <f>data!K10+data!L10</f>
        <v>59356</v>
      </c>
      <c r="J10" s="1">
        <f t="shared" ref="J10" si="29">C10/$B10</f>
        <v>0.41083453145503712</v>
      </c>
      <c r="K10" s="1">
        <f t="shared" ref="K10" si="30">D10/$B10</f>
        <v>9.6557589965585985E-2</v>
      </c>
      <c r="L10" s="1">
        <f t="shared" ref="L10" si="31">E10/$B10</f>
        <v>4.8771304247458173E-2</v>
      </c>
      <c r="M10" s="1">
        <f t="shared" ref="M10" si="32">F10/$B10</f>
        <v>0.37732148920457792</v>
      </c>
      <c r="N10" s="1">
        <f t="shared" ref="N10" si="33">G10/$B10</f>
        <v>6.651508512734082E-2</v>
      </c>
      <c r="O10" s="3">
        <f t="shared" ref="O10" si="34">SUM(J10:N10)</f>
        <v>1</v>
      </c>
      <c r="P10" s="1"/>
      <c r="R10" s="1"/>
      <c r="S10" s="1"/>
    </row>
    <row r="11" spans="1:19" x14ac:dyDescent="0.45">
      <c r="A11" s="5">
        <f>data!A11</f>
        <v>43313</v>
      </c>
      <c r="B11" s="2">
        <f>data!B11</f>
        <v>912823</v>
      </c>
      <c r="C11" s="2">
        <f>data!H11</f>
        <v>371106</v>
      </c>
      <c r="D11" s="2">
        <f>data!G11</f>
        <v>86083</v>
      </c>
      <c r="E11" s="2">
        <f>data!C11+data!F11</f>
        <v>43453</v>
      </c>
      <c r="F11" s="2">
        <f>data!D11+data!J11+data!I11</f>
        <v>346783</v>
      </c>
      <c r="G11" s="2">
        <f>data!K11+data!L11</f>
        <v>65399</v>
      </c>
      <c r="J11" s="1">
        <f t="shared" ref="J11" si="35">C11/$B11</f>
        <v>0.40654760013715691</v>
      </c>
      <c r="K11" s="1">
        <f t="shared" ref="K11" si="36">D11/$B11</f>
        <v>9.4304153160032114E-2</v>
      </c>
      <c r="L11" s="1">
        <f t="shared" ref="L11" si="37">E11/$B11</f>
        <v>4.7602875913512255E-2</v>
      </c>
      <c r="M11" s="1">
        <f t="shared" ref="M11" si="38">F11/$B11</f>
        <v>0.37990168959371096</v>
      </c>
      <c r="N11" s="1">
        <f t="shared" ref="N11" si="39">G11/$B11</f>
        <v>7.1644776698220794E-2</v>
      </c>
      <c r="O11" s="3">
        <f t="shared" ref="O11" si="40">SUM(J11:N11)</f>
        <v>1.0000010955026331</v>
      </c>
      <c r="P11" s="1"/>
      <c r="R11" s="1"/>
      <c r="S11" s="1"/>
    </row>
    <row r="12" spans="1:19" x14ac:dyDescent="0.45">
      <c r="A12" s="5">
        <f>data!A12</f>
        <v>43383</v>
      </c>
      <c r="B12" s="2">
        <f>data!B12</f>
        <v>910528</v>
      </c>
      <c r="C12" s="2">
        <f>data!H12</f>
        <v>381306</v>
      </c>
      <c r="D12" s="2">
        <f>data!G12</f>
        <v>87011</v>
      </c>
      <c r="E12" s="2">
        <f>data!C12+data!F12</f>
        <v>41274</v>
      </c>
      <c r="F12" s="2">
        <f>data!D12+data!J12+data!I12</f>
        <v>350452</v>
      </c>
      <c r="G12" s="2">
        <f>data!K12+data!L12</f>
        <v>50485</v>
      </c>
      <c r="J12" s="1">
        <f t="shared" ref="J12" si="41">C12/$B12</f>
        <v>0.41877460111056442</v>
      </c>
      <c r="K12" s="1">
        <f t="shared" ref="K12" si="42">D12/$B12</f>
        <v>9.5561037112532513E-2</v>
      </c>
      <c r="L12" s="1">
        <f t="shared" ref="L12" si="43">E12/$B12</f>
        <v>4.5329742742672381E-2</v>
      </c>
      <c r="M12" s="1">
        <f t="shared" ref="M12" si="44">F12/$B12</f>
        <v>0.38488876783580517</v>
      </c>
      <c r="N12" s="1">
        <f t="shared" ref="N12" si="45">G12/$B12</f>
        <v>5.544585119842553E-2</v>
      </c>
      <c r="O12" s="3">
        <f t="shared" ref="O12" si="46">SUM(J12:N12)</f>
        <v>1</v>
      </c>
      <c r="P12" s="1"/>
      <c r="R12" s="1"/>
      <c r="S12" s="1"/>
    </row>
    <row r="13" spans="1:19" x14ac:dyDescent="0.45">
      <c r="A13" s="5">
        <f>data!A13</f>
        <v>43466</v>
      </c>
      <c r="B13" s="2">
        <f>data!B13</f>
        <v>856377</v>
      </c>
      <c r="C13" s="2">
        <f>data!H13</f>
        <v>325113</v>
      </c>
      <c r="D13" s="2">
        <f>data!G13</f>
        <v>83917</v>
      </c>
      <c r="E13" s="2">
        <f>data!C13+data!F13</f>
        <v>37593</v>
      </c>
      <c r="F13" s="2">
        <f>data!D13+data!J13+data!I13</f>
        <v>354684</v>
      </c>
      <c r="G13" s="2">
        <f>data!K13+data!L13</f>
        <v>55070</v>
      </c>
      <c r="H13" s="6">
        <f>SUM(C13:G13)</f>
        <v>856377</v>
      </c>
      <c r="J13" s="1">
        <f t="shared" ref="J13" si="47">C13/$B13</f>
        <v>0.37963770629057064</v>
      </c>
      <c r="K13" s="1">
        <f t="shared" ref="K13" si="48">D13/$B13</f>
        <v>9.7990721376216311E-2</v>
      </c>
      <c r="L13" s="1">
        <f t="shared" ref="L13" si="49">E13/$B13</f>
        <v>4.3897722615156641E-2</v>
      </c>
      <c r="M13" s="1">
        <f t="shared" ref="M13" si="50">F13/$B13</f>
        <v>0.41416805916086025</v>
      </c>
      <c r="N13" s="1">
        <f t="shared" ref="N13" si="51">G13/$B13</f>
        <v>6.4305790557196194E-2</v>
      </c>
      <c r="O13" s="3">
        <f t="shared" ref="O13" si="52">SUM(J13:N13)</f>
        <v>1</v>
      </c>
      <c r="P13" s="1"/>
      <c r="R13" s="1"/>
      <c r="S13" s="1"/>
    </row>
    <row r="14" spans="1:19" x14ac:dyDescent="0.45">
      <c r="A14" s="5">
        <f>data!A14</f>
        <v>43558</v>
      </c>
      <c r="B14" s="2">
        <f>data!B14</f>
        <v>937138</v>
      </c>
      <c r="C14" s="2">
        <f>data!H14</f>
        <v>381130</v>
      </c>
      <c r="D14" s="2">
        <f>data!G14</f>
        <v>93492</v>
      </c>
      <c r="E14" s="2">
        <f>data!C14+data!F14</f>
        <v>51856</v>
      </c>
      <c r="F14" s="2">
        <f>data!D14+data!J14+data!I14</f>
        <v>363402</v>
      </c>
      <c r="G14" s="2">
        <f>data!K14+data!L14</f>
        <v>47258</v>
      </c>
      <c r="H14" s="6">
        <f t="shared" ref="H14:H24" si="53">SUM(C14:G14)</f>
        <v>937138</v>
      </c>
      <c r="J14" s="1">
        <f t="shared" ref="J14" si="54">C14/$B14</f>
        <v>0.40669570543505867</v>
      </c>
      <c r="K14" s="1">
        <f t="shared" ref="K14" si="55">D14/$B14</f>
        <v>9.9763321944046662E-2</v>
      </c>
      <c r="L14" s="1">
        <f t="shared" ref="L14" si="56">E14/$B14</f>
        <v>5.5334433135781499E-2</v>
      </c>
      <c r="M14" s="1">
        <f t="shared" ref="M14" si="57">F14/$B14</f>
        <v>0.38777853421801273</v>
      </c>
      <c r="N14" s="1">
        <f t="shared" ref="N14" si="58">G14/$B14</f>
        <v>5.0428005267100472E-2</v>
      </c>
      <c r="O14" s="3">
        <f t="shared" ref="O14" si="59">SUM(J14:N14)</f>
        <v>1</v>
      </c>
      <c r="P14" s="1"/>
      <c r="R14" s="1"/>
      <c r="S14" s="1"/>
    </row>
    <row r="15" spans="1:19" x14ac:dyDescent="0.45">
      <c r="A15" s="5">
        <f>data!A15</f>
        <v>43616</v>
      </c>
      <c r="B15" s="2">
        <f>data!B15</f>
        <v>926458</v>
      </c>
      <c r="C15" s="2">
        <f>data!H15</f>
        <v>360743</v>
      </c>
      <c r="D15" s="2">
        <f>data!G15</f>
        <v>90332</v>
      </c>
      <c r="E15" s="2">
        <f>data!C15+data!F15</f>
        <v>50794</v>
      </c>
      <c r="F15" s="2">
        <f>data!D15+data!J15+data!I15</f>
        <v>369937</v>
      </c>
      <c r="G15" s="2">
        <f>data!K15+data!L15</f>
        <v>54652</v>
      </c>
      <c r="H15" s="6">
        <f t="shared" si="53"/>
        <v>926458</v>
      </c>
      <c r="J15" s="1">
        <f t="shared" ref="J15:J16" si="60">C15/$B15</f>
        <v>0.38937868743105464</v>
      </c>
      <c r="K15" s="1">
        <f t="shared" ref="K15:K16" si="61">D15/$B15</f>
        <v>9.7502531145502544E-2</v>
      </c>
      <c r="L15" s="1">
        <f t="shared" ref="L15:L16" si="62">E15/$B15</f>
        <v>5.482601477886747E-2</v>
      </c>
      <c r="M15" s="1">
        <f t="shared" ref="M15:M16" si="63">F15/$B15</f>
        <v>0.39930250480863677</v>
      </c>
      <c r="N15" s="1">
        <f t="shared" ref="N15:N16" si="64">G15/$B15</f>
        <v>5.8990261835938598E-2</v>
      </c>
      <c r="O15" s="3">
        <f t="shared" ref="O15:O16" si="65">SUM(J15:N15)</f>
        <v>1</v>
      </c>
      <c r="P15" s="1"/>
      <c r="R15" s="1"/>
      <c r="S15" s="1"/>
    </row>
    <row r="16" spans="1:19" x14ac:dyDescent="0.45">
      <c r="A16" s="5">
        <f>data!A16</f>
        <v>43686</v>
      </c>
      <c r="B16" s="2">
        <f>data!B16</f>
        <v>928456</v>
      </c>
      <c r="C16" s="2">
        <f>data!H16</f>
        <v>365402</v>
      </c>
      <c r="D16" s="2">
        <f>data!G16</f>
        <v>92534</v>
      </c>
      <c r="E16" s="2">
        <f>data!C16+data!F16</f>
        <v>53081</v>
      </c>
      <c r="F16" s="2">
        <f>data!D16+data!J16+data!I16</f>
        <v>358938</v>
      </c>
      <c r="G16" s="2">
        <f>data!K16+data!L16</f>
        <v>58501</v>
      </c>
      <c r="H16" s="6">
        <f t="shared" si="53"/>
        <v>928456</v>
      </c>
      <c r="J16" s="1">
        <f t="shared" si="60"/>
        <v>0.39355876853615035</v>
      </c>
      <c r="K16" s="1">
        <f t="shared" si="61"/>
        <v>9.9664389050208094E-2</v>
      </c>
      <c r="L16" s="1">
        <f t="shared" si="62"/>
        <v>5.7171260673634504E-2</v>
      </c>
      <c r="M16" s="1">
        <f t="shared" si="63"/>
        <v>0.38659667232480593</v>
      </c>
      <c r="N16" s="1">
        <f t="shared" si="64"/>
        <v>6.3008909415201153E-2</v>
      </c>
      <c r="O16" s="3">
        <f t="shared" si="65"/>
        <v>1</v>
      </c>
      <c r="P16" s="1"/>
      <c r="R16" s="1"/>
      <c r="S16" s="1"/>
    </row>
    <row r="17" spans="1:19" x14ac:dyDescent="0.45">
      <c r="A17" s="5">
        <f>data!A17</f>
        <v>43788</v>
      </c>
      <c r="B17" s="2">
        <f>data!B17</f>
        <v>964244</v>
      </c>
      <c r="C17" s="2">
        <f>data!H17</f>
        <v>388443</v>
      </c>
      <c r="D17" s="2">
        <f>data!G17</f>
        <v>110485</v>
      </c>
      <c r="E17" s="2">
        <f>data!C17+data!F17</f>
        <v>48797</v>
      </c>
      <c r="F17" s="2">
        <f>data!D17+data!J17+data!I17</f>
        <v>370590</v>
      </c>
      <c r="G17" s="2">
        <f>data!K17+data!L17</f>
        <v>45929</v>
      </c>
      <c r="H17" s="6">
        <f t="shared" si="53"/>
        <v>964244</v>
      </c>
      <c r="J17" s="1">
        <f t="shared" ref="J17:J18" si="66">C17/$B17</f>
        <v>0.40284720464944557</v>
      </c>
      <c r="K17" s="1">
        <f t="shared" ref="K17:K18" si="67">D17/$B17</f>
        <v>0.11458199376921194</v>
      </c>
      <c r="L17" s="1">
        <f t="shared" ref="L17:L18" si="68">E17/$B17</f>
        <v>5.0606485495372541E-2</v>
      </c>
      <c r="M17" s="1">
        <f t="shared" ref="M17:M18" si="69">F17/$B17</f>
        <v>0.38433218148103593</v>
      </c>
      <c r="N17" s="1">
        <f t="shared" ref="N17:N18" si="70">G17/$B17</f>
        <v>4.7632134604934019E-2</v>
      </c>
      <c r="O17" s="3">
        <f t="shared" ref="O17:O19" si="71">SUM(J17:N17)</f>
        <v>1</v>
      </c>
      <c r="P17" s="1"/>
      <c r="R17" s="1"/>
      <c r="S17" s="1"/>
    </row>
    <row r="18" spans="1:19" x14ac:dyDescent="0.45">
      <c r="A18" s="5">
        <f>data!A18</f>
        <v>43830</v>
      </c>
      <c r="B18" s="2">
        <f>data!B18</f>
        <v>984125</v>
      </c>
      <c r="C18" s="2">
        <f>data!H18</f>
        <v>396478</v>
      </c>
      <c r="D18" s="2">
        <f>data!G18</f>
        <v>110615</v>
      </c>
      <c r="E18" s="2">
        <f>data!C18+data!F18</f>
        <v>48717</v>
      </c>
      <c r="F18" s="2">
        <f>data!D18+data!J18+data!I18</f>
        <v>370562</v>
      </c>
      <c r="G18" s="2">
        <f>data!K18+data!L18</f>
        <v>57752</v>
      </c>
      <c r="H18" s="6">
        <f t="shared" si="53"/>
        <v>984124</v>
      </c>
      <c r="J18" s="1">
        <f t="shared" si="66"/>
        <v>0.40287361869681187</v>
      </c>
      <c r="K18" s="1">
        <f t="shared" si="67"/>
        <v>0.11239933951479741</v>
      </c>
      <c r="L18" s="1">
        <f t="shared" si="68"/>
        <v>4.9502857868665061E-2</v>
      </c>
      <c r="M18" s="1">
        <f t="shared" si="69"/>
        <v>0.3765395656039629</v>
      </c>
      <c r="N18" s="1">
        <f t="shared" si="70"/>
        <v>5.8683602184681827E-2</v>
      </c>
      <c r="O18" s="3">
        <f t="shared" si="71"/>
        <v>0.99999898386891906</v>
      </c>
      <c r="P18" s="1"/>
      <c r="R18" s="1"/>
      <c r="S18" s="1"/>
    </row>
    <row r="19" spans="1:19" x14ac:dyDescent="0.45">
      <c r="A19" s="5">
        <f>data!A19</f>
        <v>43896</v>
      </c>
      <c r="B19" s="2">
        <f>data!B19</f>
        <v>964675</v>
      </c>
      <c r="C19" s="2">
        <f>data!H19</f>
        <v>371114</v>
      </c>
      <c r="D19" s="2">
        <f>data!G19</f>
        <v>100262</v>
      </c>
      <c r="E19" s="2">
        <f>data!C19+data!F19</f>
        <v>46382</v>
      </c>
      <c r="F19" s="2">
        <f>data!D19+data!J19+data!I19</f>
        <v>396089</v>
      </c>
      <c r="G19" s="2">
        <f>data!K19+data!L19</f>
        <v>50830</v>
      </c>
      <c r="H19" s="6">
        <f t="shared" si="53"/>
        <v>964677</v>
      </c>
      <c r="J19" s="1">
        <f t="shared" ref="J19" si="72">C19/$B19</f>
        <v>0.38470365667193612</v>
      </c>
      <c r="K19" s="1">
        <f t="shared" ref="K19" si="73">D19/$B19</f>
        <v>0.10393344908907146</v>
      </c>
      <c r="L19" s="1">
        <f t="shared" ref="L19" si="74">E19/$B19</f>
        <v>4.8080441599502421E-2</v>
      </c>
      <c r="M19" s="1">
        <f t="shared" ref="M19" si="75">F19/$B19</f>
        <v>0.41059320496540286</v>
      </c>
      <c r="N19" s="1">
        <f t="shared" ref="N19" si="76">G19/$B19</f>
        <v>5.2691320911187708E-2</v>
      </c>
      <c r="O19" s="3">
        <f t="shared" si="71"/>
        <v>1.0000020732371007</v>
      </c>
      <c r="P19" s="1"/>
      <c r="R19" s="1"/>
      <c r="S19" s="1"/>
    </row>
    <row r="20" spans="1:19" x14ac:dyDescent="0.45">
      <c r="A20" s="5">
        <f>data!A20</f>
        <v>43924</v>
      </c>
      <c r="B20" s="2">
        <f>data!B20</f>
        <v>853941</v>
      </c>
      <c r="C20" s="2">
        <f>data!H20</f>
        <v>324969</v>
      </c>
      <c r="D20" s="2">
        <f>data!G20</f>
        <v>82658</v>
      </c>
      <c r="E20" s="2">
        <f>data!C20+data!F20</f>
        <v>32187</v>
      </c>
      <c r="F20" s="2">
        <f>data!D20+data!J20+data!I20</f>
        <v>361789</v>
      </c>
      <c r="G20" s="2">
        <f>data!K20+data!L20</f>
        <v>52339</v>
      </c>
      <c r="H20" s="6">
        <f t="shared" si="53"/>
        <v>853942</v>
      </c>
      <c r="J20" s="1">
        <f t="shared" ref="J20" si="77">C20/$B20</f>
        <v>0.38055205219095933</v>
      </c>
      <c r="K20" s="1">
        <f t="shared" ref="K20" si="78">D20/$B20</f>
        <v>9.6795914471842909E-2</v>
      </c>
      <c r="L20" s="1">
        <f t="shared" ref="L20" si="79">E20/$B20</f>
        <v>3.7692299585100141E-2</v>
      </c>
      <c r="M20" s="1">
        <f t="shared" ref="M20" si="80">F20/$B20</f>
        <v>0.42366978514909109</v>
      </c>
      <c r="N20" s="1">
        <f t="shared" ref="N20" si="81">G20/$B20</f>
        <v>6.129111964409719E-2</v>
      </c>
      <c r="O20" s="3">
        <f t="shared" ref="O20" si="82">SUM(J20:N20)</f>
        <v>1.0000011710410908</v>
      </c>
      <c r="P20" s="1"/>
      <c r="R20" s="1"/>
      <c r="S20" s="1"/>
    </row>
    <row r="21" spans="1:19" x14ac:dyDescent="0.45">
      <c r="A21" s="5">
        <f>data!A21</f>
        <v>43982</v>
      </c>
      <c r="B21" s="2">
        <f>data!B21</f>
        <v>963957</v>
      </c>
      <c r="C21" s="2">
        <f>data!H21</f>
        <v>389712</v>
      </c>
      <c r="D21" s="2">
        <f>data!G21</f>
        <v>99131</v>
      </c>
      <c r="E21" s="2">
        <f>data!C21+data!F21</f>
        <v>49523</v>
      </c>
      <c r="F21" s="2">
        <f>data!D21+data!J21+data!I21</f>
        <v>378438</v>
      </c>
      <c r="G21" s="2">
        <f>data!K21+data!L21</f>
        <v>47151</v>
      </c>
      <c r="H21" s="6">
        <f t="shared" si="53"/>
        <v>963955</v>
      </c>
      <c r="J21" s="1">
        <f t="shared" ref="J21" si="83">C21/$B21</f>
        <v>0.40428359356278343</v>
      </c>
      <c r="K21" s="1">
        <f t="shared" ref="K21" si="84">D21/$B21</f>
        <v>0.10283757470509576</v>
      </c>
      <c r="L21" s="1">
        <f t="shared" ref="L21" si="85">E21/$B21</f>
        <v>5.1374698248988285E-2</v>
      </c>
      <c r="M21" s="1">
        <f t="shared" ref="M21" si="86">F21/$B21</f>
        <v>0.39258805112676187</v>
      </c>
      <c r="N21" s="1">
        <f t="shared" ref="N21" si="87">G21/$B21</f>
        <v>4.8914007575026688E-2</v>
      </c>
      <c r="O21" s="3">
        <f t="shared" ref="O21" si="88">SUM(J21:N21)</f>
        <v>0.99999792521865616</v>
      </c>
      <c r="P21" s="1"/>
      <c r="R21" s="1"/>
      <c r="S21" s="1"/>
    </row>
    <row r="22" spans="1:19" x14ac:dyDescent="0.45">
      <c r="A22" s="5">
        <f>data!A22</f>
        <v>44146</v>
      </c>
      <c r="B22" s="2">
        <f>data!B22</f>
        <v>1067060</v>
      </c>
      <c r="C22" s="2">
        <f>data!H22</f>
        <v>462234</v>
      </c>
      <c r="D22" s="2">
        <f>data!G22</f>
        <v>114997</v>
      </c>
      <c r="E22" s="2">
        <f>data!C22+data!F22</f>
        <v>56241</v>
      </c>
      <c r="F22" s="2">
        <f>data!D22+data!J22+data!I22</f>
        <v>381939</v>
      </c>
      <c r="G22" s="2">
        <f>data!K22+data!L22</f>
        <v>51650</v>
      </c>
      <c r="H22" s="6">
        <f t="shared" si="53"/>
        <v>1067061</v>
      </c>
      <c r="J22" s="1">
        <f t="shared" ref="J22" si="89">C22/$B22</f>
        <v>0.43318463816467678</v>
      </c>
      <c r="K22" s="1">
        <f t="shared" ref="K22" si="90">D22/$B22</f>
        <v>0.10776994733192136</v>
      </c>
      <c r="L22" s="1">
        <f t="shared" ref="L22" si="91">E22/$B22</f>
        <v>5.2706501977395834E-2</v>
      </c>
      <c r="M22" s="1">
        <f t="shared" ref="M22" si="92">F22/$B22</f>
        <v>0.35793582366502352</v>
      </c>
      <c r="N22" s="1">
        <f t="shared" ref="N22" si="93">G22/$B22</f>
        <v>4.8404026015406817E-2</v>
      </c>
      <c r="O22" s="3">
        <f t="shared" ref="O22" si="94">SUM(J22:N22)</f>
        <v>1.0000009371544243</v>
      </c>
      <c r="P22" s="1"/>
      <c r="R22" s="1"/>
      <c r="S22" s="1"/>
    </row>
    <row r="23" spans="1:19" x14ac:dyDescent="0.45">
      <c r="A23" s="5">
        <f>data!A23</f>
        <v>44165</v>
      </c>
      <c r="B23" s="2">
        <f>data!B23</f>
        <v>1090858.6200000001</v>
      </c>
      <c r="C23" s="2">
        <f>data!H23</f>
        <v>441311.35</v>
      </c>
      <c r="D23" s="2">
        <f>data!G23</f>
        <v>109792.49</v>
      </c>
      <c r="E23" s="2">
        <f>data!C23+data!F23</f>
        <v>56580.15</v>
      </c>
      <c r="F23" s="2">
        <f>data!D23+data!J23+data!I23</f>
        <v>431145.98000000004</v>
      </c>
      <c r="G23" s="2">
        <f>data!K23+data!L23</f>
        <v>52029.130000000005</v>
      </c>
      <c r="H23" s="6">
        <f t="shared" si="53"/>
        <v>1090859.1000000001</v>
      </c>
      <c r="J23" s="1">
        <f t="shared" ref="J23" si="95">C23/$B23</f>
        <v>0.40455412086306836</v>
      </c>
      <c r="K23" s="1">
        <f t="shared" ref="K23" si="96">D23/$B23</f>
        <v>0.10064777230251891</v>
      </c>
      <c r="L23" s="1">
        <f t="shared" ref="L23" si="97">E23/$B23</f>
        <v>5.1867537151606316E-2</v>
      </c>
      <c r="M23" s="1">
        <f t="shared" ref="M23" si="98">F23/$B23</f>
        <v>0.39523543390068272</v>
      </c>
      <c r="N23" s="1">
        <f t="shared" ref="N23" si="99">G23/$B23</f>
        <v>4.7695575802481169E-2</v>
      </c>
      <c r="O23" s="3">
        <f t="shared" ref="O23" si="100">SUM(J23:N23)</f>
        <v>1.0000004400203575</v>
      </c>
      <c r="P23" s="1"/>
      <c r="R23" s="1"/>
      <c r="S23" s="1"/>
    </row>
    <row r="24" spans="1:19" x14ac:dyDescent="0.45">
      <c r="A24" s="5">
        <v>44904</v>
      </c>
      <c r="B24" s="2">
        <f>data!B26</f>
        <v>1006324.88</v>
      </c>
      <c r="C24" s="2">
        <f>data!H26</f>
        <v>411823.87</v>
      </c>
      <c r="D24" s="2">
        <f>data!G26+data!E26</f>
        <v>105763.79</v>
      </c>
      <c r="E24" s="2">
        <f>data!C26+data!F26</f>
        <v>44194.82</v>
      </c>
      <c r="F24" s="2">
        <f>data!D26+data!J26+data!I26</f>
        <v>395028.92</v>
      </c>
      <c r="G24" s="2">
        <f>data!K26+data!L26+data!M26</f>
        <v>49513.479999999996</v>
      </c>
      <c r="H24" s="6">
        <f t="shared" si="53"/>
        <v>1006324.8799999999</v>
      </c>
      <c r="J24" s="1">
        <f t="shared" ref="J24:N26" si="101">C24/$B24</f>
        <v>0.40923550454203217</v>
      </c>
      <c r="K24" s="1">
        <f t="shared" si="101"/>
        <v>0.10509905111359265</v>
      </c>
      <c r="L24" s="1">
        <f t="shared" si="101"/>
        <v>4.3917049929243529E-2</v>
      </c>
      <c r="M24" s="1">
        <f t="shared" si="101"/>
        <v>0.39254611294118058</v>
      </c>
      <c r="N24" s="1">
        <f t="shared" si="101"/>
        <v>4.9202281473951032E-2</v>
      </c>
      <c r="O24" s="3">
        <f t="shared" ref="O24" si="102">SUM(J24:N24)</f>
        <v>0.99999999999999989</v>
      </c>
      <c r="P24" s="1"/>
      <c r="R24" s="1"/>
      <c r="S24" s="1"/>
    </row>
    <row r="25" spans="1:19" x14ac:dyDescent="0.45">
      <c r="A25" s="5"/>
      <c r="B25" s="2"/>
      <c r="C25" s="2"/>
      <c r="D25" s="2"/>
      <c r="E25" s="2"/>
      <c r="F25" s="2"/>
      <c r="G25" s="2"/>
      <c r="H25" s="6"/>
      <c r="J25" s="1"/>
      <c r="K25" s="1"/>
      <c r="L25" s="1"/>
      <c r="M25" s="1"/>
      <c r="N25" s="1"/>
      <c r="O25" s="3"/>
      <c r="P25" s="1"/>
      <c r="R25" s="1"/>
      <c r="S25" s="1"/>
    </row>
    <row r="26" spans="1:19" x14ac:dyDescent="0.45">
      <c r="A26" s="5">
        <v>44908</v>
      </c>
      <c r="B26" s="2">
        <f>data!B27</f>
        <v>1006633.59</v>
      </c>
      <c r="C26" s="2">
        <f>data!H27</f>
        <v>398657.23</v>
      </c>
      <c r="D26" s="2">
        <f>data!G27+data!E27</f>
        <v>100940.31000000001</v>
      </c>
      <c r="E26" s="2">
        <f>data!C27+data!F27</f>
        <v>50484.07</v>
      </c>
      <c r="F26" s="2">
        <f>data!D27+data!J27+data!I27</f>
        <v>399768.42000000004</v>
      </c>
      <c r="G26" s="2">
        <f>data!K27+data!L27+data!M27</f>
        <v>56783.56</v>
      </c>
      <c r="H26" s="6">
        <f t="shared" ref="H26" si="103">SUM(C26:G26)</f>
        <v>1006633.5900000001</v>
      </c>
      <c r="I26" s="6"/>
      <c r="J26" s="1">
        <f t="shared" si="101"/>
        <v>0.39603012849988445</v>
      </c>
      <c r="K26" s="1">
        <f t="shared" si="101"/>
        <v>0.10027512592739928</v>
      </c>
      <c r="L26" s="1">
        <f t="shared" si="101"/>
        <v>5.0151386265582493E-2</v>
      </c>
      <c r="M26" s="1">
        <f t="shared" si="101"/>
        <v>0.39713399589616322</v>
      </c>
      <c r="N26" s="1">
        <f t="shared" si="101"/>
        <v>5.6409363410970616E-2</v>
      </c>
      <c r="O26" s="3">
        <f t="shared" ref="O26" si="104">SUM(J26:N26)</f>
        <v>1</v>
      </c>
      <c r="P26" s="1"/>
      <c r="R26" s="1"/>
      <c r="S26" s="1"/>
    </row>
    <row r="27" spans="1:19" x14ac:dyDescent="0.45">
      <c r="A27" s="5">
        <v>45270</v>
      </c>
      <c r="B27" s="2">
        <f>data!B29</f>
        <v>1040904.16</v>
      </c>
      <c r="C27" s="2">
        <f>data!H29</f>
        <v>462395.5</v>
      </c>
      <c r="D27" s="2">
        <f>data!G29+data!E29</f>
        <v>109780.94</v>
      </c>
      <c r="E27" s="2">
        <f>data!C29+data!F29</f>
        <v>48648.05</v>
      </c>
      <c r="F27" s="2">
        <f>data!D29+data!J29+data!I29</f>
        <v>392595.82999999996</v>
      </c>
      <c r="G27" s="2">
        <f>data!K29+data!L29+data!M29</f>
        <v>27483.84</v>
      </c>
      <c r="H27" s="6">
        <f t="shared" ref="H27" si="105">SUM(C27:G27)</f>
        <v>1040904.1599999999</v>
      </c>
      <c r="J27" s="1">
        <f t="shared" ref="J27" si="106">C27/$B27</f>
        <v>0.44422485543721912</v>
      </c>
      <c r="K27" s="1">
        <f t="shared" ref="K27" si="107">D27/$B27</f>
        <v>0.10546690484933791</v>
      </c>
      <c r="L27" s="1">
        <f t="shared" ref="L27" si="108">E27/$B27</f>
        <v>4.673633929947979E-2</v>
      </c>
      <c r="M27" s="1">
        <f t="shared" ref="M27" si="109">F27/$B27</f>
        <v>0.3771680862530129</v>
      </c>
      <c r="N27" s="1">
        <f t="shared" ref="N27" si="110">G27/$B27</f>
        <v>2.6403814160950227E-2</v>
      </c>
      <c r="O27" s="3">
        <f t="shared" ref="O27" si="111">SUM(J27:N27)</f>
        <v>0.99999999999999989</v>
      </c>
      <c r="P27" s="1"/>
      <c r="R27" s="1"/>
      <c r="S27" s="1"/>
    </row>
    <row r="28" spans="1:19" x14ac:dyDescent="0.45">
      <c r="A28" s="5">
        <v>45272</v>
      </c>
      <c r="B28" s="2">
        <f>data!B30</f>
        <v>1042600.54</v>
      </c>
      <c r="C28" s="2">
        <f>data!H30</f>
        <v>418205.12</v>
      </c>
      <c r="D28" s="2">
        <f>data!G30+data!E30</f>
        <v>104317.20000000001</v>
      </c>
      <c r="E28" s="2">
        <f>data!C30+data!F30</f>
        <v>51566.8</v>
      </c>
      <c r="F28" s="2">
        <f>data!D30+data!J30+data!I30</f>
        <v>415997.86</v>
      </c>
      <c r="G28" s="2">
        <f>data!K30+data!L30+data!M30</f>
        <v>52513.56</v>
      </c>
      <c r="H28" s="6">
        <f t="shared" ref="H28" si="112">SUM(C28:G28)</f>
        <v>1042600.54</v>
      </c>
      <c r="J28" s="1">
        <f t="shared" ref="J28" si="113">C28/$B28</f>
        <v>0.40111730615447405</v>
      </c>
      <c r="K28" s="1">
        <f t="shared" ref="K28" si="114">D28/$B28</f>
        <v>0.10005481102091124</v>
      </c>
      <c r="L28" s="1">
        <f t="shared" ref="L28" si="115">E28/$B28</f>
        <v>4.9459786391440004E-2</v>
      </c>
      <c r="M28" s="1">
        <f t="shared" ref="M28" si="116">F28/$B28</f>
        <v>0.39900023454812328</v>
      </c>
      <c r="N28" s="1">
        <f t="shared" ref="N28" si="117">G28/$B28</f>
        <v>5.0367861885051386E-2</v>
      </c>
      <c r="O28" s="3">
        <f t="shared" ref="O28" si="118">SUM(J28:N28)</f>
        <v>1</v>
      </c>
      <c r="P28" s="1"/>
      <c r="R28" s="1"/>
      <c r="S2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workbookViewId="0">
      <selection activeCell="H21" sqref="H21"/>
    </sheetView>
  </sheetViews>
  <sheetFormatPr defaultRowHeight="14.25" x14ac:dyDescent="0.45"/>
  <cols>
    <col min="1" max="1" width="50.1328125" customWidth="1"/>
    <col min="2" max="2" width="10.59765625" customWidth="1"/>
    <col min="3" max="3" width="6.59765625" customWidth="1"/>
    <col min="4" max="4" width="7.59765625" customWidth="1"/>
    <col min="5" max="5" width="10.59765625" customWidth="1"/>
    <col min="6" max="6" width="13.59765625" customWidth="1"/>
    <col min="7" max="7" width="20.59765625" customWidth="1"/>
    <col min="8" max="8" width="5.86328125" customWidth="1"/>
    <col min="9" max="9" width="10.73046875" customWidth="1"/>
    <col min="10" max="10" width="13.59765625" customWidth="1"/>
    <col min="11" max="11" width="10.73046875" customWidth="1"/>
    <col min="12" max="12" width="13.59765625" customWidth="1"/>
    <col min="15" max="15" width="11.59765625" bestFit="1" customWidth="1"/>
    <col min="16" max="16" width="9.73046875" bestFit="1" customWidth="1"/>
  </cols>
  <sheetData>
    <row r="1" spans="1:12" x14ac:dyDescent="0.45">
      <c r="A1" s="22"/>
      <c r="B1" s="23">
        <v>45645</v>
      </c>
      <c r="C1" s="22" t="s">
        <v>148</v>
      </c>
      <c r="D1" s="22" t="s">
        <v>54</v>
      </c>
      <c r="E1" s="23" t="s">
        <v>62</v>
      </c>
      <c r="F1" s="46" t="s">
        <v>158</v>
      </c>
      <c r="G1" s="23"/>
      <c r="K1" s="5"/>
    </row>
    <row r="2" spans="1:12" x14ac:dyDescent="0.45">
      <c r="A2" s="24" t="s">
        <v>23</v>
      </c>
      <c r="B2" s="25">
        <f>data!M31</f>
        <v>49622.38</v>
      </c>
      <c r="C2" s="25"/>
      <c r="D2" s="22"/>
      <c r="E2" s="25"/>
      <c r="F2" s="26"/>
      <c r="G2" s="18"/>
      <c r="K2">
        <v>107</v>
      </c>
    </row>
    <row r="3" spans="1:12" x14ac:dyDescent="0.45">
      <c r="A3" s="24" t="s">
        <v>49</v>
      </c>
      <c r="B3" s="25">
        <f>data!L31</f>
        <v>23648.38</v>
      </c>
      <c r="C3" s="25"/>
      <c r="D3" s="22"/>
      <c r="E3" s="25"/>
      <c r="F3" s="26"/>
      <c r="G3" s="18"/>
    </row>
    <row r="4" spans="1:12" x14ac:dyDescent="0.45">
      <c r="A4" s="24" t="s">
        <v>4</v>
      </c>
      <c r="B4" s="25">
        <f>data!K29</f>
        <v>0</v>
      </c>
      <c r="C4" s="25"/>
      <c r="D4" s="22"/>
      <c r="E4" s="25"/>
      <c r="F4" s="22"/>
    </row>
    <row r="5" spans="1:12" x14ac:dyDescent="0.45">
      <c r="A5" s="27" t="s">
        <v>25</v>
      </c>
      <c r="B5" s="25">
        <f>B3+B2</f>
        <v>73270.759999999995</v>
      </c>
      <c r="C5" s="28">
        <f>B5/$B$24</f>
        <v>6.2103961563581334E-2</v>
      </c>
      <c r="D5" s="38">
        <v>0.05</v>
      </c>
      <c r="E5" s="25">
        <f>0.05*B24</f>
        <v>58990.407500000001</v>
      </c>
      <c r="F5" s="32">
        <f>E5-B5</f>
        <v>-14280.352499999994</v>
      </c>
      <c r="G5" t="s">
        <v>181</v>
      </c>
    </row>
    <row r="6" spans="1:12" x14ac:dyDescent="0.45">
      <c r="A6" s="22"/>
      <c r="B6" s="22"/>
      <c r="C6" s="22"/>
      <c r="D6" s="30"/>
      <c r="E6" s="22"/>
      <c r="F6" s="32"/>
      <c r="G6" s="19"/>
    </row>
    <row r="7" spans="1:12" x14ac:dyDescent="0.45">
      <c r="A7" s="24" t="s">
        <v>26</v>
      </c>
      <c r="B7" s="25">
        <f>data!H31</f>
        <v>530176.52</v>
      </c>
      <c r="C7" s="25"/>
      <c r="D7" s="48"/>
      <c r="E7" s="25"/>
      <c r="F7" s="32"/>
      <c r="G7" s="18"/>
      <c r="H7" s="8"/>
    </row>
    <row r="8" spans="1:12" x14ac:dyDescent="0.45">
      <c r="A8" s="27" t="s">
        <v>27</v>
      </c>
      <c r="B8" s="25">
        <f>B7</f>
        <v>530176.52</v>
      </c>
      <c r="C8" s="28">
        <f>B8/$B$24</f>
        <v>0.44937519714540036</v>
      </c>
      <c r="D8" s="38">
        <v>0.42499999999999999</v>
      </c>
      <c r="E8" s="25">
        <f>0.4*B24</f>
        <v>471923.26</v>
      </c>
      <c r="F8" s="32">
        <f>E8-B8</f>
        <v>-58253.260000000009</v>
      </c>
      <c r="G8" s="19" t="s">
        <v>150</v>
      </c>
      <c r="H8" t="s">
        <v>151</v>
      </c>
      <c r="J8" s="18"/>
      <c r="L8" s="21"/>
    </row>
    <row r="9" spans="1:12" x14ac:dyDescent="0.45">
      <c r="A9" s="22"/>
      <c r="B9" s="12"/>
      <c r="C9" s="12"/>
      <c r="D9" s="49"/>
      <c r="E9" s="12"/>
      <c r="F9" s="32"/>
      <c r="G9" s="19"/>
    </row>
    <row r="10" spans="1:12" x14ac:dyDescent="0.45">
      <c r="A10" s="24" t="s">
        <v>57</v>
      </c>
      <c r="B10" s="25">
        <f>data!G31</f>
        <v>96053.97</v>
      </c>
      <c r="C10" s="25"/>
      <c r="D10" s="48"/>
      <c r="E10" s="25"/>
      <c r="F10" s="32"/>
      <c r="G10" s="19"/>
    </row>
    <row r="11" spans="1:12" x14ac:dyDescent="0.45">
      <c r="A11" s="24" t="s">
        <v>60</v>
      </c>
      <c r="B11" s="25" t="s">
        <v>51</v>
      </c>
      <c r="C11" s="25"/>
      <c r="D11" s="48"/>
      <c r="E11" s="25"/>
      <c r="F11" s="32"/>
      <c r="G11" s="19"/>
    </row>
    <row r="12" spans="1:12" x14ac:dyDescent="0.45">
      <c r="A12" s="24" t="s">
        <v>50</v>
      </c>
      <c r="B12" s="25">
        <f>data!E31</f>
        <v>12536.55</v>
      </c>
      <c r="C12" s="25"/>
      <c r="D12" s="48"/>
      <c r="E12" s="25"/>
      <c r="F12" s="32"/>
      <c r="G12" s="19"/>
    </row>
    <row r="13" spans="1:12" x14ac:dyDescent="0.45">
      <c r="A13" s="27" t="s">
        <v>29</v>
      </c>
      <c r="B13" s="25">
        <f>B10+B12</f>
        <v>108590.52</v>
      </c>
      <c r="C13" s="28">
        <f>B13/$B$24</f>
        <v>9.2040828841536665E-2</v>
      </c>
      <c r="D13" s="38">
        <v>0.1</v>
      </c>
      <c r="E13" s="25">
        <f>0.1*B24</f>
        <v>117980.815</v>
      </c>
      <c r="F13" s="32">
        <f>E13-B13</f>
        <v>9390.2949999999983</v>
      </c>
      <c r="G13" s="19" t="s">
        <v>175</v>
      </c>
      <c r="H13" t="s">
        <v>151</v>
      </c>
      <c r="K13" s="8"/>
    </row>
    <row r="14" spans="1:12" x14ac:dyDescent="0.45">
      <c r="A14" s="22"/>
      <c r="B14" s="12"/>
      <c r="C14" s="12"/>
      <c r="D14" s="49"/>
      <c r="E14" s="12"/>
      <c r="F14" s="32"/>
      <c r="G14" s="19"/>
    </row>
    <row r="15" spans="1:12" x14ac:dyDescent="0.45">
      <c r="A15" s="24" t="s">
        <v>59</v>
      </c>
      <c r="B15" s="25">
        <f>data!J31</f>
        <v>214819.04</v>
      </c>
      <c r="C15" s="25"/>
      <c r="D15" s="48"/>
      <c r="E15" s="25"/>
      <c r="F15" s="32"/>
      <c r="G15" s="19" t="s">
        <v>176</v>
      </c>
      <c r="H15" t="s">
        <v>151</v>
      </c>
    </row>
    <row r="16" spans="1:12" x14ac:dyDescent="0.45">
      <c r="A16" s="24" t="s">
        <v>58</v>
      </c>
      <c r="B16" s="25">
        <f>data!D31</f>
        <v>78151.98</v>
      </c>
      <c r="C16" s="25"/>
      <c r="D16" s="48"/>
      <c r="E16" s="25"/>
      <c r="F16" s="32"/>
      <c r="G16" s="19" t="s">
        <v>177</v>
      </c>
      <c r="H16" t="s">
        <v>151</v>
      </c>
      <c r="J16" t="s">
        <v>152</v>
      </c>
    </row>
    <row r="17" spans="1:17" x14ac:dyDescent="0.45">
      <c r="A17" s="24" t="s">
        <v>32</v>
      </c>
      <c r="B17" s="25">
        <f>data!I31</f>
        <v>122359.12</v>
      </c>
      <c r="C17" s="25"/>
      <c r="D17" s="48"/>
      <c r="E17" s="25"/>
      <c r="F17" s="32"/>
      <c r="G17" s="18" t="s">
        <v>178</v>
      </c>
      <c r="H17" t="s">
        <v>151</v>
      </c>
    </row>
    <row r="18" spans="1:17" x14ac:dyDescent="0.45">
      <c r="A18" s="27" t="s">
        <v>33</v>
      </c>
      <c r="B18" s="25">
        <f>SUM(B15:B17)</f>
        <v>415330.14</v>
      </c>
      <c r="C18" s="28">
        <f>B18/$B$24</f>
        <v>0.35203192993708343</v>
      </c>
      <c r="D18" s="38">
        <v>0.375</v>
      </c>
      <c r="E18" s="25">
        <f>0.4*B24</f>
        <v>471923.26</v>
      </c>
      <c r="F18" s="32">
        <f>E18-B18</f>
        <v>56593.119999999995</v>
      </c>
      <c r="G18" s="19"/>
    </row>
    <row r="19" spans="1:17" x14ac:dyDescent="0.45">
      <c r="A19" s="22"/>
      <c r="B19" s="12"/>
      <c r="C19" s="12"/>
      <c r="D19" s="49"/>
      <c r="E19" s="12"/>
      <c r="F19" s="32"/>
      <c r="G19" s="19"/>
    </row>
    <row r="20" spans="1:17" x14ac:dyDescent="0.45">
      <c r="A20" s="24" t="s">
        <v>34</v>
      </c>
      <c r="B20" s="25">
        <f>data!F31</f>
        <v>38710.22</v>
      </c>
      <c r="C20" s="25"/>
      <c r="D20" s="48"/>
      <c r="E20" s="25"/>
      <c r="F20" s="32"/>
      <c r="G20" s="18" t="s">
        <v>179</v>
      </c>
      <c r="H20" t="s">
        <v>151</v>
      </c>
      <c r="J20">
        <f>6.5/2</f>
        <v>3.25</v>
      </c>
    </row>
    <row r="21" spans="1:17" x14ac:dyDescent="0.45">
      <c r="A21" s="24" t="s">
        <v>35</v>
      </c>
      <c r="B21" s="25">
        <f>data!C31</f>
        <v>13729.99</v>
      </c>
      <c r="C21" s="25"/>
      <c r="D21" s="48"/>
      <c r="E21" s="25"/>
      <c r="F21" s="32"/>
      <c r="G21" s="19" t="s">
        <v>180</v>
      </c>
    </row>
    <row r="22" spans="1:17" x14ac:dyDescent="0.45">
      <c r="A22" s="27" t="s">
        <v>36</v>
      </c>
      <c r="B22" s="25">
        <f>B20+B21</f>
        <v>52440.21</v>
      </c>
      <c r="C22" s="28">
        <f>B22/$B$24</f>
        <v>4.4448082512398311E-2</v>
      </c>
      <c r="D22" s="38">
        <v>0.05</v>
      </c>
      <c r="E22" s="25">
        <f>0.05*B24</f>
        <v>58990.407500000001</v>
      </c>
      <c r="F22" s="32">
        <f>E22-B22</f>
        <v>6550.197500000002</v>
      </c>
      <c r="G22" s="19"/>
    </row>
    <row r="23" spans="1:17" x14ac:dyDescent="0.45">
      <c r="A23" s="22"/>
      <c r="B23" s="12"/>
      <c r="C23" s="12"/>
      <c r="D23" s="49"/>
      <c r="E23" s="39"/>
      <c r="F23" s="22"/>
    </row>
    <row r="24" spans="1:17" x14ac:dyDescent="0.45">
      <c r="A24" s="24" t="s">
        <v>149</v>
      </c>
      <c r="B24" s="25">
        <f>B5+B8+B13+B18+B22</f>
        <v>1179808.1499999999</v>
      </c>
      <c r="C24" s="31">
        <f>C5+C8+C13+C18+C22</f>
        <v>1.0000000000000002</v>
      </c>
      <c r="D24" s="50">
        <f>D5+D8+D13+D18+D22</f>
        <v>1</v>
      </c>
      <c r="E24" s="25">
        <f>SUM(E5:E22)</f>
        <v>1179808.1499999999</v>
      </c>
      <c r="F24" s="25">
        <f>SUM(F5:F22)</f>
        <v>-7.2759576141834259E-12</v>
      </c>
      <c r="K24" s="8"/>
      <c r="L24" s="8"/>
    </row>
    <row r="25" spans="1:17" x14ac:dyDescent="0.45">
      <c r="A25" s="24"/>
      <c r="B25" s="25"/>
      <c r="C25" s="31"/>
      <c r="D25" s="31"/>
      <c r="E25" s="25"/>
      <c r="F25" s="22"/>
      <c r="K25" s="8"/>
      <c r="L25" s="8"/>
    </row>
    <row r="26" spans="1:17" x14ac:dyDescent="0.45">
      <c r="A26" s="24"/>
      <c r="B26" s="25"/>
      <c r="C26" s="31"/>
      <c r="D26" s="31"/>
      <c r="E26" s="31"/>
      <c r="F26" s="25"/>
      <c r="G26" s="25"/>
      <c r="H26" s="25"/>
      <c r="I26" s="25"/>
      <c r="J26" s="25"/>
      <c r="K26" s="22"/>
      <c r="P26" s="8"/>
      <c r="Q26" s="8"/>
    </row>
    <row r="27" spans="1:17" x14ac:dyDescent="0.45">
      <c r="A27" s="24"/>
      <c r="B27" s="25"/>
      <c r="C27" s="31"/>
      <c r="D27" s="31"/>
      <c r="E27" s="31"/>
      <c r="F27" s="32"/>
      <c r="G27" s="32"/>
      <c r="H27" s="32"/>
      <c r="I27" s="32"/>
      <c r="J27" s="32"/>
      <c r="K27" s="32"/>
      <c r="P27" s="8"/>
      <c r="Q27" s="8"/>
    </row>
    <row r="28" spans="1:17" x14ac:dyDescent="0.45">
      <c r="A28" s="24"/>
      <c r="B28" s="32"/>
      <c r="C28" s="32"/>
      <c r="D28" s="22"/>
      <c r="E28" s="22"/>
      <c r="F28" s="33"/>
      <c r="G28" s="33"/>
      <c r="H28" s="33"/>
      <c r="I28" s="33"/>
      <c r="J28" s="33"/>
      <c r="K28" s="32"/>
    </row>
    <row r="29" spans="1:17" x14ac:dyDescent="0.45">
      <c r="A29" s="24"/>
      <c r="B29" s="32"/>
      <c r="C29" s="32"/>
      <c r="D29" s="22"/>
      <c r="E29" s="22"/>
      <c r="F29" s="26"/>
      <c r="G29" s="26"/>
      <c r="H29" s="26"/>
      <c r="I29" s="26"/>
      <c r="J29" s="26"/>
      <c r="K29" s="22"/>
    </row>
    <row r="30" spans="1:17" x14ac:dyDescent="0.45">
      <c r="A30" s="22"/>
      <c r="B30" s="32"/>
      <c r="C30" s="32"/>
      <c r="D30" s="22"/>
      <c r="E30" s="22"/>
      <c r="F30" s="26"/>
      <c r="G30" s="26"/>
      <c r="H30" s="26"/>
      <c r="I30" s="26"/>
      <c r="J30" s="26"/>
      <c r="K30" s="22"/>
    </row>
    <row r="31" spans="1:17" x14ac:dyDescent="0.4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7" x14ac:dyDescent="0.45">
      <c r="A32" s="22"/>
      <c r="B32" s="32"/>
      <c r="C32" s="22"/>
      <c r="D32" s="22"/>
      <c r="E32" s="22"/>
      <c r="F32" s="32"/>
      <c r="G32" s="32"/>
      <c r="H32" s="32"/>
      <c r="I32" s="32"/>
      <c r="J32" s="32"/>
      <c r="K32" s="22"/>
    </row>
    <row r="33" spans="1:15" x14ac:dyDescent="0.45">
      <c r="A33" s="22"/>
      <c r="B33" s="32"/>
      <c r="C33" s="34"/>
      <c r="D33" s="22"/>
      <c r="E33" s="22"/>
      <c r="F33" s="26"/>
      <c r="G33" s="26"/>
      <c r="H33" s="26"/>
      <c r="I33" s="26"/>
      <c r="J33" s="26"/>
      <c r="K33" s="22"/>
      <c r="M33" s="18"/>
      <c r="N33" s="32"/>
      <c r="O33" s="18"/>
    </row>
    <row r="34" spans="1:15" x14ac:dyDescent="0.45">
      <c r="C34" s="19"/>
      <c r="M34" s="18"/>
      <c r="N34" s="32"/>
      <c r="O34" s="18"/>
    </row>
    <row r="35" spans="1:15" x14ac:dyDescent="0.45">
      <c r="K35" s="22"/>
      <c r="M35" s="18"/>
      <c r="N35" s="32"/>
      <c r="O35" s="18"/>
    </row>
    <row r="36" spans="1:15" x14ac:dyDescent="0.45">
      <c r="N36" s="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4"/>
  <sheetViews>
    <sheetView workbookViewId="0">
      <pane ySplit="585" topLeftCell="A13" activePane="bottomLeft"/>
      <selection activeCell="I31" sqref="I31"/>
      <selection pane="bottomLeft" activeCell="K34" sqref="K34"/>
    </sheetView>
  </sheetViews>
  <sheetFormatPr defaultRowHeight="14.25" x14ac:dyDescent="0.45"/>
  <cols>
    <col min="1" max="1" width="10.59765625" bestFit="1" customWidth="1"/>
    <col min="2" max="2" width="12" customWidth="1"/>
    <col min="10" max="10" width="11.1328125" bestFit="1" customWidth="1"/>
    <col min="12" max="12" width="11.1328125" bestFit="1" customWidth="1"/>
    <col min="13" max="13" width="9.59765625" customWidth="1"/>
    <col min="14" max="14" width="17" bestFit="1" customWidth="1"/>
  </cols>
  <sheetData>
    <row r="1" spans="1:16" x14ac:dyDescent="0.45">
      <c r="B1" t="s">
        <v>38</v>
      </c>
      <c r="C1" t="s">
        <v>11</v>
      </c>
      <c r="D1" t="s">
        <v>12</v>
      </c>
      <c r="E1" t="s">
        <v>8</v>
      </c>
      <c r="F1" t="s">
        <v>9</v>
      </c>
      <c r="G1" t="s">
        <v>10</v>
      </c>
      <c r="I1" t="s">
        <v>13</v>
      </c>
      <c r="J1" t="s">
        <v>11</v>
      </c>
      <c r="K1" t="s">
        <v>12</v>
      </c>
      <c r="L1" t="s">
        <v>8</v>
      </c>
      <c r="M1" t="s">
        <v>9</v>
      </c>
      <c r="N1" t="s">
        <v>10</v>
      </c>
      <c r="P1" t="s">
        <v>6</v>
      </c>
    </row>
    <row r="3" spans="1:16" x14ac:dyDescent="0.45">
      <c r="A3" s="5">
        <f>data!A3</f>
        <v>42510</v>
      </c>
      <c r="C3" s="1">
        <f>pct!J3-40%-1%</f>
        <v>4.6915987181482884E-2</v>
      </c>
      <c r="D3" s="1">
        <f>pct!K3-10%</f>
        <v>-1.5318879399655386E-2</v>
      </c>
      <c r="E3" s="1">
        <f>pct!L3-5%</f>
        <v>-3.6828544282393863E-2</v>
      </c>
      <c r="F3" s="1">
        <f>pct!M3-40%+1%</f>
        <v>-7.3373771424583858E-2</v>
      </c>
      <c r="G3" s="1">
        <f>pct!N3-5%</f>
        <v>7.8606549897204933E-2</v>
      </c>
      <c r="J3" s="2">
        <f>C3*data!$B3</f>
        <v>34960.479999999967</v>
      </c>
      <c r="K3" s="2">
        <f>D3*data!$B3</f>
        <v>-11415.200000000003</v>
      </c>
      <c r="L3" s="2">
        <f>E3*data!$B3</f>
        <v>-27443.599999999999</v>
      </c>
      <c r="M3" s="2">
        <f>F3*data!$B3</f>
        <v>-54676.08</v>
      </c>
      <c r="N3" s="2">
        <f>G3*data!$B3</f>
        <v>58575.399999999994</v>
      </c>
      <c r="P3" s="6">
        <f t="shared" ref="P3:P8" si="0">SUM(J3:N3)</f>
        <v>0.99999999995634425</v>
      </c>
    </row>
    <row r="4" spans="1:16" x14ac:dyDescent="0.45">
      <c r="A4" s="5">
        <f>data!A4</f>
        <v>42551</v>
      </c>
      <c r="C4" s="1">
        <f>pct!J4-40%-1%</f>
        <v>1.8560963517513913E-2</v>
      </c>
      <c r="D4" s="1">
        <f>pct!K4-10%</f>
        <v>-2.6475278272324321E-3</v>
      </c>
      <c r="E4" s="1">
        <f>pct!L4-5%</f>
        <v>-1.0880320335300328E-2</v>
      </c>
      <c r="F4" s="1">
        <f>pct!M4-40%+1%</f>
        <v>-6.213769656314547E-3</v>
      </c>
      <c r="G4" s="1">
        <f>pct!N4-5%</f>
        <v>1.1819624330727044E-3</v>
      </c>
      <c r="J4" s="2">
        <f>C4*data!$B4</f>
        <v>14188.909999999994</v>
      </c>
      <c r="K4" s="2">
        <f>D4*data!$B4</f>
        <v>-2023.9000000000055</v>
      </c>
      <c r="L4" s="2">
        <f>E4*data!$B4</f>
        <v>-8317.4500000000007</v>
      </c>
      <c r="M4" s="2">
        <f>F4*data!$B4</f>
        <v>-4750.1099999999988</v>
      </c>
      <c r="N4" s="2">
        <f>G4*data!$B4</f>
        <v>903.54999999999575</v>
      </c>
      <c r="P4" s="6">
        <f t="shared" si="0"/>
        <v>0.99999999998556177</v>
      </c>
    </row>
    <row r="5" spans="1:16" x14ac:dyDescent="0.45">
      <c r="A5" s="5">
        <f>data!A5</f>
        <v>42766</v>
      </c>
      <c r="C5" s="1">
        <f>pct!J5-40%-1%</f>
        <v>2.998619447623347E-2</v>
      </c>
      <c r="D5" s="1">
        <f>pct!K5-10%</f>
        <v>-2.238986072510149E-3</v>
      </c>
      <c r="E5" s="1">
        <f>pct!L5-5%</f>
        <v>-1.3128611948006116E-2</v>
      </c>
      <c r="F5" s="1">
        <f>pct!M5-40%+1%</f>
        <v>-2.460126170031119E-2</v>
      </c>
      <c r="G5" s="1">
        <f>pct!N5-5%</f>
        <v>9.9839627562261085E-3</v>
      </c>
      <c r="J5" s="2">
        <f>C5*data!$B5</f>
        <v>23110.539999999994</v>
      </c>
      <c r="K5" s="2">
        <f>D5*data!$B5</f>
        <v>-1725.600000000007</v>
      </c>
      <c r="L5" s="2">
        <f>E5*data!$B5</f>
        <v>-10118.300000000001</v>
      </c>
      <c r="M5" s="2">
        <f>F5*data!$B5</f>
        <v>-18960.340000000037</v>
      </c>
      <c r="N5" s="2">
        <f>G5*data!$B5</f>
        <v>7694.6999999999989</v>
      </c>
      <c r="P5" s="6">
        <f t="shared" si="0"/>
        <v>0.9999999999490683</v>
      </c>
    </row>
    <row r="6" spans="1:16" x14ac:dyDescent="0.45">
      <c r="A6" s="5">
        <f>data!A6</f>
        <v>42847</v>
      </c>
      <c r="C6" s="1">
        <f>pct!J6-40%-1%</f>
        <v>1.5218487924837607E-2</v>
      </c>
      <c r="D6" s="1">
        <f>pct!K6-10%</f>
        <v>1.9559871366416487E-3</v>
      </c>
      <c r="E6" s="1">
        <f>pct!L6-5%</f>
        <v>-2.2958572419446432E-3</v>
      </c>
      <c r="F6" s="1">
        <f>pct!M6-40%+1%</f>
        <v>-6.4323097294911678E-3</v>
      </c>
      <c r="G6" s="1">
        <f>pct!N6-5%</f>
        <v>-8.4475692036067862E-3</v>
      </c>
      <c r="J6" s="2">
        <f>C6*data!$B6</f>
        <v>12067.49999999998</v>
      </c>
      <c r="K6" s="2">
        <f>D6*data!$B6</f>
        <v>1550.9999999999952</v>
      </c>
      <c r="L6" s="2">
        <f>E6*data!$B6</f>
        <v>-1820.5000000000048</v>
      </c>
      <c r="M6" s="2">
        <f>F6*data!$B6</f>
        <v>-5100.5000000000218</v>
      </c>
      <c r="N6" s="2">
        <f>G6*data!$B6</f>
        <v>-6698.5000000000009</v>
      </c>
      <c r="P6" s="6">
        <f t="shared" si="0"/>
        <v>-1.0000000000536602</v>
      </c>
    </row>
    <row r="7" spans="1:16" x14ac:dyDescent="0.45">
      <c r="A7" s="5">
        <f>data!A7</f>
        <v>43022</v>
      </c>
      <c r="C7" s="1">
        <f>pct!J7-40%-1%</f>
        <v>4.0322588140169289E-3</v>
      </c>
      <c r="D7" s="1">
        <f>pct!K7-10%</f>
        <v>7.2145522474755669E-3</v>
      </c>
      <c r="E7" s="1">
        <f>pct!L7-5%</f>
        <v>-6.0821015162850836E-3</v>
      </c>
      <c r="F7" s="1">
        <f>pct!M7-40%+1%</f>
        <v>-6.4157864654247068E-2</v>
      </c>
      <c r="G7" s="1">
        <f>pct!N7-5%</f>
        <v>5.8995478561504111E-2</v>
      </c>
      <c r="J7" s="2">
        <f>C7*data!$B7</f>
        <v>3470.9200000000042</v>
      </c>
      <c r="K7" s="2">
        <f>D7*data!$B7</f>
        <v>6210.199999999998</v>
      </c>
      <c r="L7" s="2">
        <f>E7*data!$B7</f>
        <v>-5235.4000000000042</v>
      </c>
      <c r="M7" s="2">
        <f>F7*data!$B7</f>
        <v>-55226.320000000029</v>
      </c>
      <c r="N7" s="2">
        <f>G7*data!$B7</f>
        <v>50782.6</v>
      </c>
      <c r="P7" s="6">
        <f t="shared" si="0"/>
        <v>1.9999999999708962</v>
      </c>
    </row>
    <row r="8" spans="1:16" x14ac:dyDescent="0.45">
      <c r="A8" s="5">
        <f>data!A8</f>
        <v>43100</v>
      </c>
      <c r="C8" s="1">
        <f>pct!J8-40%-1%</f>
        <v>7.5183956433849761E-3</v>
      </c>
      <c r="D8" s="1">
        <f>pct!K8-10%</f>
        <v>-2.481241154030811E-3</v>
      </c>
      <c r="E8" s="1">
        <f>pct!L8-5%</f>
        <v>-7.2045205101634313E-3</v>
      </c>
      <c r="F8" s="1">
        <f>pct!M8-40%+1%</f>
        <v>-1.0573610381237894E-2</v>
      </c>
      <c r="G8" s="1">
        <f>pct!N8-5%</f>
        <v>1.2742111410122686E-2</v>
      </c>
      <c r="J8" s="2">
        <f>C8*data!$B8</f>
        <v>6624.0899999999765</v>
      </c>
      <c r="K8" s="2">
        <f>D8*data!$B8</f>
        <v>-2186.1</v>
      </c>
      <c r="L8" s="2">
        <f>E8*data!$B8</f>
        <v>-6347.5500000000011</v>
      </c>
      <c r="M8" s="2">
        <f>F8*data!$B8</f>
        <v>-9315.8900000000285</v>
      </c>
      <c r="N8" s="2">
        <f>G8*data!$B8</f>
        <v>11226.450000000003</v>
      </c>
      <c r="P8" s="6">
        <f t="shared" si="0"/>
        <v>0.9999999999490683</v>
      </c>
    </row>
    <row r="9" spans="1:16" x14ac:dyDescent="0.45">
      <c r="A9" s="5">
        <f>data!A9</f>
        <v>43148</v>
      </c>
      <c r="C9" s="1">
        <f>pct!J9-40%-1%</f>
        <v>-5.589849646726144E-3</v>
      </c>
      <c r="D9" s="1">
        <f>pct!K9-10%</f>
        <v>-7.636540270720138E-4</v>
      </c>
      <c r="E9" s="1">
        <f>pct!L9-5%</f>
        <v>-4.028323339737884E-3</v>
      </c>
      <c r="F9" s="1">
        <f>pct!M9-40%+1%</f>
        <v>-3.7318940735761117E-3</v>
      </c>
      <c r="G9" s="1">
        <f>pct!N9-5%</f>
        <v>1.4112583512216989E-2</v>
      </c>
      <c r="J9" s="2">
        <f>C9*data!$B9</f>
        <v>-4913.8300000000245</v>
      </c>
      <c r="K9" s="2">
        <f>D9*data!$B9</f>
        <v>-671.30000000000564</v>
      </c>
      <c r="L9" s="2">
        <f>E9*data!$B9</f>
        <v>-3541.1500000000037</v>
      </c>
      <c r="M9" s="2">
        <f>F9*data!$B9</f>
        <v>-3280.5700000000375</v>
      </c>
      <c r="N9" s="2">
        <f>G9*data!$B9</f>
        <v>12405.850000000002</v>
      </c>
      <c r="P9" s="6">
        <f t="shared" ref="P9" si="1">SUM(J9:N9)</f>
        <v>-1.0000000000691216</v>
      </c>
    </row>
    <row r="10" spans="1:16" x14ac:dyDescent="0.45">
      <c r="A10" s="5">
        <f>data!A10</f>
        <v>43259</v>
      </c>
      <c r="C10" s="1">
        <f>pct!J10-40%-1%</f>
        <v>8.3453145503709948E-4</v>
      </c>
      <c r="D10" s="1">
        <f>pct!K10-10%</f>
        <v>-3.4424100344140202E-3</v>
      </c>
      <c r="E10" s="1">
        <f>pct!L10-5%</f>
        <v>-1.2286957525418293E-3</v>
      </c>
      <c r="F10" s="1">
        <f>pct!M10-40%+1%</f>
        <v>-1.2678510795422102E-2</v>
      </c>
      <c r="G10" s="1">
        <f>pct!N10-5%</f>
        <v>1.6515085127340817E-2</v>
      </c>
      <c r="J10" s="2">
        <f>C10*data!$B10</f>
        <v>744.7100000000014</v>
      </c>
      <c r="K10" s="2">
        <f>D10*data!$B10</f>
        <v>-3071.9000000000046</v>
      </c>
      <c r="L10" s="2">
        <f>E10*data!$B10</f>
        <v>-1096.4499999999996</v>
      </c>
      <c r="M10" s="2">
        <f>F10*data!$B10</f>
        <v>-11313.910000000025</v>
      </c>
      <c r="N10" s="2">
        <f>G10*data!$B10</f>
        <v>14737.549999999997</v>
      </c>
      <c r="P10" s="6">
        <f t="shared" ref="P10" si="2">SUM(J10:N10)</f>
        <v>-3.092281986027956E-11</v>
      </c>
    </row>
    <row r="11" spans="1:16" x14ac:dyDescent="0.45">
      <c r="A11" s="5">
        <f>data!A11</f>
        <v>43313</v>
      </c>
      <c r="C11" s="1">
        <f>pct!J11-40%-1%</f>
        <v>-3.4523998628431165E-3</v>
      </c>
      <c r="D11" s="1">
        <f>pct!K11-10%</f>
        <v>-5.6958468399678913E-3</v>
      </c>
      <c r="E11" s="1">
        <f>pct!L11-5%</f>
        <v>-2.397124086487748E-3</v>
      </c>
      <c r="F11" s="1">
        <f>pct!M11-40%+1%</f>
        <v>-1.0098310406289066E-2</v>
      </c>
      <c r="G11" s="1">
        <f>pct!N11-5%</f>
        <v>2.1644776698220791E-2</v>
      </c>
      <c r="J11" s="2">
        <f>C11*data!$B11</f>
        <v>-3151.4300000000421</v>
      </c>
      <c r="K11" s="2">
        <f>D11*data!$B11</f>
        <v>-5199.3000000000102</v>
      </c>
      <c r="L11" s="2">
        <f>E11*data!$B11</f>
        <v>-2188.1500000000055</v>
      </c>
      <c r="M11" s="2">
        <f>F11*data!$B11</f>
        <v>-9217.9700000000048</v>
      </c>
      <c r="N11" s="2">
        <f>G11*data!$B11</f>
        <v>19757.849999999999</v>
      </c>
      <c r="P11" s="6">
        <f t="shared" ref="P11" si="3">SUM(J11:N11)</f>
        <v>0.99999999993451638</v>
      </c>
    </row>
    <row r="12" spans="1:16" x14ac:dyDescent="0.45">
      <c r="A12" s="5">
        <f>data!A12</f>
        <v>43383</v>
      </c>
      <c r="C12" s="1">
        <f>pct!J12-40%</f>
        <v>1.8774601110564393E-2</v>
      </c>
      <c r="D12" s="1">
        <f>pct!K12-10%</f>
        <v>-4.438962887467493E-3</v>
      </c>
      <c r="E12" s="1">
        <f>pct!L12-5%</f>
        <v>-4.6702572573276216E-3</v>
      </c>
      <c r="F12" s="1">
        <f>pct!M12-40%</f>
        <v>-1.5111232164194854E-2</v>
      </c>
      <c r="G12" s="1">
        <f>pct!N12-5%</f>
        <v>5.4458511984255276E-3</v>
      </c>
      <c r="J12" s="2">
        <f>C12*data!$B12</f>
        <v>17094.799999999974</v>
      </c>
      <c r="K12" s="2">
        <f>D12*data!$B12</f>
        <v>-4041.8000000000015</v>
      </c>
      <c r="L12" s="2">
        <f>E12*data!$B12</f>
        <v>-4252.4000000000042</v>
      </c>
      <c r="M12" s="2">
        <f>F12*data!$B12</f>
        <v>-13759.200000000012</v>
      </c>
      <c r="N12" s="2">
        <f>G12*data!$B12</f>
        <v>4958.5999999999985</v>
      </c>
      <c r="P12" s="6">
        <f t="shared" ref="P12" si="4">SUM(J12:N12)</f>
        <v>-4.3655745685100555E-11</v>
      </c>
    </row>
    <row r="13" spans="1:16" x14ac:dyDescent="0.45">
      <c r="A13" s="5">
        <f>data!A13</f>
        <v>43466</v>
      </c>
      <c r="C13" s="1">
        <f>pct!J13-40%</f>
        <v>-2.036229370942938E-2</v>
      </c>
      <c r="D13" s="1">
        <f>pct!K13-10%</f>
        <v>-2.0092786237836946E-3</v>
      </c>
      <c r="E13" s="1">
        <f>pct!L13-5%</f>
        <v>-6.1022773848433617E-3</v>
      </c>
      <c r="F13" s="1">
        <f>pct!M13-40%</f>
        <v>1.4168059160860225E-2</v>
      </c>
      <c r="G13" s="1">
        <f>pct!N13-5%</f>
        <v>1.4305790557196191E-2</v>
      </c>
      <c r="J13" s="2">
        <f>C13*data!$B13</f>
        <v>-17437.800000000003</v>
      </c>
      <c r="K13" s="2">
        <f>D13*data!$B13</f>
        <v>-1720.7000000000089</v>
      </c>
      <c r="L13" s="2">
        <f>E13*data!$B13</f>
        <v>-5225.850000000004</v>
      </c>
      <c r="M13" s="2">
        <f>F13*data!$B13</f>
        <v>12133.199999999997</v>
      </c>
      <c r="N13" s="2">
        <f>G13*data!$B13</f>
        <v>12251.150000000001</v>
      </c>
      <c r="P13" s="6">
        <f t="shared" ref="P13" si="5">SUM(J13:N13)</f>
        <v>-1.4551915228366852E-11</v>
      </c>
    </row>
    <row r="14" spans="1:16" x14ac:dyDescent="0.45">
      <c r="A14" s="5">
        <f>data!A14</f>
        <v>43558</v>
      </c>
      <c r="C14" s="1">
        <f>pct!J14-40%</f>
        <v>6.695705435058652E-3</v>
      </c>
      <c r="D14" s="1">
        <f>pct!K14-10%</f>
        <v>-2.3667805595334324E-4</v>
      </c>
      <c r="E14" s="1">
        <f>pct!L14-5%</f>
        <v>5.3344331357814967E-3</v>
      </c>
      <c r="F14" s="1">
        <f>pct!M14-40%</f>
        <v>-1.2221465781987295E-2</v>
      </c>
      <c r="G14" s="1">
        <f>pct!N14-5%</f>
        <v>4.2800526710046888E-4</v>
      </c>
      <c r="J14" s="2">
        <f>C14*data!$B14</f>
        <v>6274.7999999999947</v>
      </c>
      <c r="K14" s="2">
        <f>D14*data!$B14</f>
        <v>-221.80000000000416</v>
      </c>
      <c r="L14" s="2">
        <f>E14*data!$B14</f>
        <v>4999.1000000000004</v>
      </c>
      <c r="M14" s="2">
        <f>F14*data!$B14</f>
        <v>-11453.20000000001</v>
      </c>
      <c r="N14" s="2">
        <f>G14*data!$B14</f>
        <v>401.09999999999923</v>
      </c>
      <c r="P14" s="6">
        <f t="shared" ref="P14" si="6">SUM(J14:N14)</f>
        <v>-1.9326762412674725E-11</v>
      </c>
    </row>
    <row r="15" spans="1:16" x14ac:dyDescent="0.45">
      <c r="A15" s="5">
        <f>data!A15</f>
        <v>43616</v>
      </c>
      <c r="C15" s="1">
        <f>pct!J15-40%</f>
        <v>-1.0621312568945385E-2</v>
      </c>
      <c r="D15" s="1">
        <f>pct!K15-10%</f>
        <v>-2.4974688544974616E-3</v>
      </c>
      <c r="E15" s="1">
        <f>pct!L15-5%</f>
        <v>4.826014778867467E-3</v>
      </c>
      <c r="F15" s="1">
        <f>pct!M15-40%</f>
        <v>-6.97495191363251E-4</v>
      </c>
      <c r="G15" s="1">
        <f>pct!N15-5%</f>
        <v>8.9902618359385955E-3</v>
      </c>
      <c r="J15" s="2">
        <f>C15*data!$B15</f>
        <v>-9840.2000000000025</v>
      </c>
      <c r="K15" s="2">
        <f>D15*data!$B15</f>
        <v>-2313.8000000000093</v>
      </c>
      <c r="L15" s="2">
        <f>E15*data!$B15</f>
        <v>4471.0999999999958</v>
      </c>
      <c r="M15" s="2">
        <f>F15*data!$B15</f>
        <v>-646.20000000001482</v>
      </c>
      <c r="N15" s="2">
        <f>G15*data!$B15</f>
        <v>8329.0999999999985</v>
      </c>
      <c r="P15" s="6">
        <f t="shared" ref="P15" si="7">SUM(J15:N15)</f>
        <v>-3.092281986027956E-11</v>
      </c>
    </row>
    <row r="16" spans="1:16" x14ac:dyDescent="0.45">
      <c r="A16" s="5">
        <f>data!A16</f>
        <v>43686</v>
      </c>
      <c r="C16" s="1">
        <f>pct!J16-40%</f>
        <v>-6.4412314638496726E-3</v>
      </c>
      <c r="D16" s="1">
        <f>pct!K16-10%</f>
        <v>-3.3561094979191186E-4</v>
      </c>
      <c r="E16" s="1">
        <f>pct!L16-5%</f>
        <v>7.1712606736345011E-3</v>
      </c>
      <c r="F16" s="1">
        <f>pct!M16-40%</f>
        <v>-1.3403327675194088E-2</v>
      </c>
      <c r="G16" s="1">
        <f>pct!N16-5%</f>
        <v>1.300890941520115E-2</v>
      </c>
      <c r="J16" s="2">
        <f>C16*data!$B16</f>
        <v>-5980.4000000000115</v>
      </c>
      <c r="K16" s="2">
        <f>D16*data!$B16</f>
        <v>-311.59999999999934</v>
      </c>
      <c r="L16" s="2">
        <f>E16*data!$B16</f>
        <v>6658.1999999999944</v>
      </c>
      <c r="M16" s="2">
        <f>F16*data!$B16</f>
        <v>-12444.400000000001</v>
      </c>
      <c r="N16" s="2">
        <f>G16*data!$B16</f>
        <v>12078.199999999999</v>
      </c>
      <c r="P16" s="6">
        <f t="shared" ref="P16" si="8">SUM(J16:N16)</f>
        <v>-2.0008883439004421E-11</v>
      </c>
    </row>
    <row r="17" spans="1:16" x14ac:dyDescent="0.45">
      <c r="A17" s="5">
        <f>data!A17</f>
        <v>43788</v>
      </c>
      <c r="C17" s="1">
        <f>pct!J17-40%</f>
        <v>2.847204649445545E-3</v>
      </c>
      <c r="D17" s="1">
        <f>pct!K17-10%</f>
        <v>1.4581993769211932E-2</v>
      </c>
      <c r="E17" s="1">
        <f>pct!L17-5%</f>
        <v>6.0648549537253849E-4</v>
      </c>
      <c r="F17" s="1">
        <f>pct!M17-40%</f>
        <v>-1.5667818518964094E-2</v>
      </c>
      <c r="G17" s="1">
        <f>pct!N17-5%</f>
        <v>-2.3678653950659836E-3</v>
      </c>
      <c r="J17" s="2">
        <f>C17*data!$B17</f>
        <v>2745.3999999999701</v>
      </c>
      <c r="K17" s="2">
        <f>D17*data!$B17</f>
        <v>14060.599999999989</v>
      </c>
      <c r="L17" s="2">
        <f>E17*data!$B17</f>
        <v>584.79999999999802</v>
      </c>
      <c r="M17" s="2">
        <f>F17*data!$B17</f>
        <v>-15107.600000000013</v>
      </c>
      <c r="N17" s="2">
        <f>G17*data!$B17</f>
        <v>-2283.2000000000044</v>
      </c>
      <c r="P17" s="6">
        <f t="shared" ref="P17" si="9">SUM(J17:N17)</f>
        <v>-5.8207660913467407E-11</v>
      </c>
    </row>
    <row r="18" spans="1:16" x14ac:dyDescent="0.45">
      <c r="A18" s="5">
        <f>data!A18</f>
        <v>43830</v>
      </c>
      <c r="C18" s="1">
        <f>pct!J18-40%</f>
        <v>2.8736186968118527E-3</v>
      </c>
      <c r="D18" s="1">
        <f>pct!K18-10%</f>
        <v>1.2399339514797408E-2</v>
      </c>
      <c r="E18" s="1">
        <f>pct!L18-5%</f>
        <v>-4.9714213133494195E-4</v>
      </c>
      <c r="F18" s="1">
        <f>pct!M18-40%</f>
        <v>-2.3460434396037122E-2</v>
      </c>
      <c r="G18" s="1">
        <f>pct!N18-5%</f>
        <v>8.683602184681824E-3</v>
      </c>
      <c r="J18" s="2">
        <f>C18*data!$B18</f>
        <v>2827.9999999999645</v>
      </c>
      <c r="K18" s="2">
        <f>D18*data!$B18</f>
        <v>12202.5</v>
      </c>
      <c r="L18" s="2">
        <f>E18*data!$B18</f>
        <v>-489.24999999999977</v>
      </c>
      <c r="M18" s="2">
        <f>F18*data!$B18</f>
        <v>-23088.000000000033</v>
      </c>
      <c r="N18" s="2">
        <f>G18*data!$B18</f>
        <v>8545.75</v>
      </c>
      <c r="P18" s="6">
        <f t="shared" ref="P18" si="10">SUM(J18:N18)</f>
        <v>-1.0000000000691216</v>
      </c>
    </row>
    <row r="19" spans="1:16" x14ac:dyDescent="0.45">
      <c r="A19" s="5">
        <f>data!A19</f>
        <v>43896</v>
      </c>
      <c r="C19" s="1">
        <f>pct!J19-40%</f>
        <v>-1.5296343328063899E-2</v>
      </c>
      <c r="D19" s="1">
        <f>pct!K19-10%</f>
        <v>3.9334490890714502E-3</v>
      </c>
      <c r="E19" s="1">
        <f>pct!L19-5%</f>
        <v>-1.9195584004975813E-3</v>
      </c>
      <c r="F19" s="1">
        <f>pct!M19-40%</f>
        <v>1.0593204965402836E-2</v>
      </c>
      <c r="G19" s="1">
        <f>pct!N19-5%</f>
        <v>2.6913209111877057E-3</v>
      </c>
      <c r="J19" s="2">
        <f>C19*data!$B19</f>
        <v>-14756.000000000042</v>
      </c>
      <c r="K19" s="2">
        <f>D19*data!$B19</f>
        <v>3794.5000000000014</v>
      </c>
      <c r="L19" s="2">
        <f>E19*data!$B19</f>
        <v>-1851.7500000000043</v>
      </c>
      <c r="M19" s="2">
        <f>F19*data!$B19</f>
        <v>10218.99999999998</v>
      </c>
      <c r="N19" s="2">
        <f>G19*data!$B19</f>
        <v>2596.25</v>
      </c>
      <c r="P19" s="6">
        <f t="shared" ref="P19" si="11">SUM(J19:N19)</f>
        <v>1.9999999999363354</v>
      </c>
    </row>
    <row r="20" spans="1:16" x14ac:dyDescent="0.45">
      <c r="A20" s="5">
        <f>data!A20</f>
        <v>43924</v>
      </c>
      <c r="C20" s="1">
        <f>pct!J20-40%</f>
        <v>-1.9447947809040689E-2</v>
      </c>
      <c r="D20" s="1">
        <f>pct!K20-10%</f>
        <v>-3.2040855281570968E-3</v>
      </c>
      <c r="E20" s="1">
        <f>pct!L20-5%</f>
        <v>-1.2307700414899862E-2</v>
      </c>
      <c r="F20" s="1">
        <f>pct!M20-40%</f>
        <v>2.3669785149091072E-2</v>
      </c>
      <c r="G20" s="1">
        <f>pct!N20-5%</f>
        <v>1.1291119644097188E-2</v>
      </c>
      <c r="J20" s="2">
        <f>C20*data!$B20</f>
        <v>-16607.400000000016</v>
      </c>
      <c r="K20" s="2">
        <f>D20*data!$B20</f>
        <v>-2736.0999999999995</v>
      </c>
      <c r="L20" s="2">
        <f>E20*data!$B20</f>
        <v>-10510.050000000003</v>
      </c>
      <c r="M20" s="2">
        <f>F20*data!$B20</f>
        <v>20212.59999999998</v>
      </c>
      <c r="N20" s="2">
        <f>G20*data!$B20</f>
        <v>9641.9499999999971</v>
      </c>
      <c r="P20" s="6">
        <f t="shared" ref="P20" si="12">SUM(J20:N20)</f>
        <v>0.99999999995998223</v>
      </c>
    </row>
    <row r="21" spans="1:16" x14ac:dyDescent="0.45">
      <c r="A21" s="5">
        <f>data!A21</f>
        <v>43982</v>
      </c>
      <c r="C21" s="1">
        <f>pct!J21-40%</f>
        <v>4.2835935627834054E-3</v>
      </c>
      <c r="D21" s="1">
        <f>pct!K21-10%</f>
        <v>2.837574705095755E-3</v>
      </c>
      <c r="E21" s="1">
        <f>pct!L21-5%</f>
        <v>1.374698248988282E-3</v>
      </c>
      <c r="F21" s="1">
        <f>pct!M21-40%</f>
        <v>-7.41194887323815E-3</v>
      </c>
      <c r="G21" s="1">
        <f>pct!N21-5%</f>
        <v>-1.0859924249733144E-3</v>
      </c>
      <c r="J21" s="2">
        <f>C21*data!$B21</f>
        <v>4129.2000000000035</v>
      </c>
      <c r="K21" s="2">
        <f>D21*data!$B21</f>
        <v>2735.2999999999888</v>
      </c>
      <c r="L21" s="2">
        <f>E21*data!$B21</f>
        <v>1325.1499999999974</v>
      </c>
      <c r="M21" s="2">
        <f>F21*data!$B21</f>
        <v>-7144.8000000000275</v>
      </c>
      <c r="N21" s="2">
        <f>G21*data!$B21</f>
        <v>-1046.8500000000013</v>
      </c>
      <c r="P21" s="6">
        <f t="shared" ref="P21" si="13">SUM(J21:N21)</f>
        <v>-2.0000000000381988</v>
      </c>
    </row>
    <row r="22" spans="1:16" x14ac:dyDescent="0.45">
      <c r="A22" s="5">
        <f>data!A22</f>
        <v>44146</v>
      </c>
      <c r="C22" s="1">
        <f>pct!J22-40%</f>
        <v>3.3184638164676761E-2</v>
      </c>
      <c r="D22" s="1">
        <f>pct!K22-10%</f>
        <v>7.7699473319213508E-3</v>
      </c>
      <c r="E22" s="1">
        <f>pct!L22-5%</f>
        <v>2.706501977395831E-3</v>
      </c>
      <c r="F22" s="1">
        <f>pct!M22-40%</f>
        <v>-4.20641763349765E-2</v>
      </c>
      <c r="G22" s="1">
        <f>pct!N22-5%</f>
        <v>-1.5959739845931853E-3</v>
      </c>
      <c r="J22" s="2">
        <f>C22*data!$B22</f>
        <v>35409.999999999985</v>
      </c>
      <c r="K22" s="2">
        <f>D22*data!$B22</f>
        <v>8290.9999999999964</v>
      </c>
      <c r="L22" s="2">
        <f>E22*data!$B22</f>
        <v>2887.9999999999955</v>
      </c>
      <c r="M22" s="2">
        <f>F22*data!$B22</f>
        <v>-44885.000000000022</v>
      </c>
      <c r="N22" s="2">
        <f>G22*data!$B22</f>
        <v>-1703.0000000000043</v>
      </c>
      <c r="P22" s="6">
        <f t="shared" ref="P22:P23" si="14">SUM(J22:N22)</f>
        <v>0.99999999995202415</v>
      </c>
    </row>
    <row r="23" spans="1:16" x14ac:dyDescent="0.45">
      <c r="A23" s="5">
        <f>data!A23</f>
        <v>44165</v>
      </c>
      <c r="C23" s="1">
        <f>pct!J23-40%</f>
        <v>4.5541208630683339E-3</v>
      </c>
      <c r="D23" s="1">
        <f>pct!K23-10%</f>
        <v>6.4777230251890361E-4</v>
      </c>
      <c r="E23" s="1">
        <f>pct!L23-5%</f>
        <v>1.8675371516063133E-3</v>
      </c>
      <c r="F23" s="1">
        <f>pct!M23-40%</f>
        <v>-4.7645660993173022E-3</v>
      </c>
      <c r="G23" s="1">
        <f>pct!N23-5%</f>
        <v>-2.304424197518834E-3</v>
      </c>
      <c r="J23" s="2">
        <f>C23*data!$B23</f>
        <v>4967.9019999999318</v>
      </c>
      <c r="K23" s="2">
        <f>D23*data!$B23</f>
        <v>706.62799999999379</v>
      </c>
      <c r="L23" s="2">
        <f>E23*data!$B23</f>
        <v>2037.2189999999939</v>
      </c>
      <c r="M23" s="2">
        <f>F23*data!$B23</f>
        <v>-5197.4680000000562</v>
      </c>
      <c r="N23" s="2">
        <f>G23*data!$B23</f>
        <v>-2513.8010000000031</v>
      </c>
      <c r="P23" s="6">
        <f t="shared" si="14"/>
        <v>0.47999999986041075</v>
      </c>
    </row>
    <row r="24" spans="1:16" x14ac:dyDescent="0.45">
      <c r="A24" s="5"/>
      <c r="C24" s="1"/>
      <c r="D24" s="1"/>
      <c r="E24" s="1"/>
      <c r="F24" s="1"/>
      <c r="G24" s="1"/>
      <c r="J24" s="2"/>
      <c r="K24" s="2"/>
      <c r="L24" s="2"/>
      <c r="M24" s="2"/>
      <c r="N24" s="2"/>
      <c r="P24" s="6"/>
    </row>
    <row r="25" spans="1:16" x14ac:dyDescent="0.45">
      <c r="A25" s="5">
        <v>44904</v>
      </c>
      <c r="C25" s="1">
        <f>pct!J24-40%</f>
        <v>9.2355045420321469E-3</v>
      </c>
      <c r="D25" s="1">
        <f>pct!K24-10%</f>
        <v>5.0990511135926425E-3</v>
      </c>
      <c r="E25" s="1">
        <f>pct!L24-5%</f>
        <v>-6.0829500707564738E-3</v>
      </c>
      <c r="F25" s="1">
        <f>pct!M24-40%</f>
        <v>-7.4538870588194417E-3</v>
      </c>
      <c r="G25" s="1">
        <f>pct!N24-5%</f>
        <v>-7.9771852604897109E-4</v>
      </c>
      <c r="J25" s="2">
        <f>C25*data!$B26</f>
        <v>9293.917999999956</v>
      </c>
      <c r="K25" s="2">
        <f>D25*data!$B26</f>
        <v>5131.3019999999824</v>
      </c>
      <c r="L25" s="2">
        <f>E25*data!$B26</f>
        <v>-6121.424</v>
      </c>
      <c r="M25" s="2">
        <f>F25*data!$B26</f>
        <v>-7501.0320000000274</v>
      </c>
      <c r="N25" s="2">
        <f>G25*data!$B26</f>
        <v>-802.76400000000774</v>
      </c>
      <c r="P25" s="6">
        <f t="shared" ref="P25" si="15">SUM(J25:N25)</f>
        <v>-9.4928509497549385E-11</v>
      </c>
    </row>
    <row r="26" spans="1:16" x14ac:dyDescent="0.45">
      <c r="C26" s="1"/>
      <c r="D26" s="1"/>
      <c r="E26" s="1"/>
      <c r="F26" s="1"/>
      <c r="G26" s="1"/>
      <c r="J26" s="2"/>
      <c r="K26" s="2"/>
      <c r="L26" s="2"/>
      <c r="M26" s="2"/>
      <c r="N26" s="2"/>
      <c r="P26" s="6"/>
    </row>
    <row r="28" spans="1:16" x14ac:dyDescent="0.45">
      <c r="K28" t="s">
        <v>124</v>
      </c>
      <c r="L28" s="6">
        <f>L25*0.25</f>
        <v>-1530.356</v>
      </c>
    </row>
    <row r="29" spans="1:16" x14ac:dyDescent="0.45">
      <c r="K29" t="s">
        <v>72</v>
      </c>
      <c r="L29" s="42">
        <f>0.75*L25</f>
        <v>-4591.0680000000002</v>
      </c>
    </row>
    <row r="30" spans="1:16" x14ac:dyDescent="0.45">
      <c r="L30" s="6">
        <f>SUM(L28:L29)</f>
        <v>-6121.424</v>
      </c>
    </row>
    <row r="31" spans="1:16" x14ac:dyDescent="0.45">
      <c r="K31" t="s">
        <v>20</v>
      </c>
      <c r="L31" s="42">
        <f>0.3*M25</f>
        <v>-2250.3096000000082</v>
      </c>
    </row>
    <row r="32" spans="1:16" x14ac:dyDescent="0.45">
      <c r="K32" t="s">
        <v>125</v>
      </c>
      <c r="L32" s="42">
        <f>0.2*M25</f>
        <v>-1500.2064000000055</v>
      </c>
    </row>
    <row r="33" spans="11:12" x14ac:dyDescent="0.45">
      <c r="K33" t="s">
        <v>126</v>
      </c>
      <c r="L33" s="42">
        <f>0.5*M25</f>
        <v>-3750.5160000000137</v>
      </c>
    </row>
    <row r="34" spans="11:12" x14ac:dyDescent="0.45">
      <c r="L34" s="42">
        <f>SUM(L31:L33)</f>
        <v>-7501.0320000000274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42BC-321A-4703-97D5-3C7C98950D68}">
  <dimension ref="A1:Q15"/>
  <sheetViews>
    <sheetView workbookViewId="0"/>
  </sheetViews>
  <sheetFormatPr defaultRowHeight="14.25" x14ac:dyDescent="0.45"/>
  <cols>
    <col min="2" max="2" width="15.19921875" customWidth="1"/>
    <col min="7" max="7" width="16.796875" customWidth="1"/>
    <col min="10" max="10" width="13.59765625" customWidth="1"/>
    <col min="12" max="12" width="14.3984375" customWidth="1"/>
  </cols>
  <sheetData>
    <row r="1" spans="1:17" x14ac:dyDescent="0.45">
      <c r="A1" t="s">
        <v>173</v>
      </c>
    </row>
    <row r="3" spans="1:17" x14ac:dyDescent="0.45">
      <c r="A3" t="s">
        <v>145</v>
      </c>
    </row>
    <row r="4" spans="1:17" x14ac:dyDescent="0.45">
      <c r="A4" t="s">
        <v>119</v>
      </c>
      <c r="B4" t="s">
        <v>118</v>
      </c>
      <c r="C4" t="s">
        <v>172</v>
      </c>
      <c r="D4" t="s">
        <v>116</v>
      </c>
      <c r="E4" t="s">
        <v>171</v>
      </c>
      <c r="F4" t="s">
        <v>170</v>
      </c>
      <c r="G4" t="s">
        <v>169</v>
      </c>
      <c r="H4" t="s">
        <v>168</v>
      </c>
      <c r="I4" t="s">
        <v>167</v>
      </c>
      <c r="J4" t="s">
        <v>110</v>
      </c>
      <c r="K4" t="s">
        <v>166</v>
      </c>
      <c r="L4" t="s">
        <v>165</v>
      </c>
      <c r="M4" t="s">
        <v>144</v>
      </c>
      <c r="N4" t="s">
        <v>164</v>
      </c>
      <c r="O4" t="s">
        <v>163</v>
      </c>
      <c r="P4" t="s">
        <v>162</v>
      </c>
      <c r="Q4" t="s">
        <v>95</v>
      </c>
    </row>
    <row r="5" spans="1:17" x14ac:dyDescent="0.45">
      <c r="A5" t="s">
        <v>15</v>
      </c>
      <c r="B5" t="s">
        <v>94</v>
      </c>
      <c r="C5">
        <v>499</v>
      </c>
      <c r="D5" s="18">
        <v>27.515000000000001</v>
      </c>
      <c r="E5" s="19">
        <v>-1.5900000000000001E-2</v>
      </c>
      <c r="F5" s="18">
        <v>-0.44500000000000001</v>
      </c>
      <c r="G5" s="18">
        <v>13729.99</v>
      </c>
      <c r="H5" s="19">
        <v>-1.5900000000000001E-2</v>
      </c>
      <c r="I5" s="18">
        <v>-222.06</v>
      </c>
      <c r="J5" s="18">
        <v>12946.69</v>
      </c>
      <c r="K5" s="19">
        <v>6.0499999999999998E-2</v>
      </c>
      <c r="L5" s="18">
        <v>783.3</v>
      </c>
      <c r="M5" t="s">
        <v>161</v>
      </c>
      <c r="N5" t="s">
        <v>83</v>
      </c>
      <c r="O5" t="s">
        <v>75</v>
      </c>
      <c r="P5" s="19">
        <v>1.1599999999999999E-2</v>
      </c>
      <c r="Q5" t="s">
        <v>93</v>
      </c>
    </row>
    <row r="6" spans="1:17" x14ac:dyDescent="0.45">
      <c r="A6" t="s">
        <v>16</v>
      </c>
      <c r="B6" t="s">
        <v>160</v>
      </c>
      <c r="C6">
        <v>732</v>
      </c>
      <c r="D6" s="18">
        <v>106.765</v>
      </c>
      <c r="E6" s="19">
        <v>-3.5000000000000001E-3</v>
      </c>
      <c r="F6" s="18">
        <v>-0.375</v>
      </c>
      <c r="G6" s="18">
        <v>78151.98</v>
      </c>
      <c r="H6" s="19">
        <v>-3.5000000000000001E-3</v>
      </c>
      <c r="I6" s="18">
        <v>-274.5</v>
      </c>
      <c r="J6" s="18">
        <v>86776.77</v>
      </c>
      <c r="K6" s="19">
        <v>-9.9400000000000002E-2</v>
      </c>
      <c r="L6" s="18">
        <v>-8624.7900000000009</v>
      </c>
      <c r="M6" t="s">
        <v>75</v>
      </c>
      <c r="N6" t="s">
        <v>83</v>
      </c>
      <c r="O6" t="s">
        <v>75</v>
      </c>
      <c r="P6" s="19">
        <v>6.6199999999999995E-2</v>
      </c>
      <c r="Q6" t="s">
        <v>89</v>
      </c>
    </row>
    <row r="7" spans="1:17" x14ac:dyDescent="0.45">
      <c r="A7" t="s">
        <v>43</v>
      </c>
      <c r="B7" t="s">
        <v>91</v>
      </c>
      <c r="C7">
        <v>195</v>
      </c>
      <c r="D7" s="18">
        <v>64.290000000000006</v>
      </c>
      <c r="E7" s="19">
        <v>-5.9999999999999995E-4</v>
      </c>
      <c r="F7" s="18">
        <v>-0.04</v>
      </c>
      <c r="G7" s="18">
        <v>12536.55</v>
      </c>
      <c r="H7" s="19">
        <v>-5.9999999999999995E-4</v>
      </c>
      <c r="I7" s="18">
        <v>-7.8</v>
      </c>
      <c r="J7" s="18">
        <v>10955.82</v>
      </c>
      <c r="K7" s="19">
        <v>0.14430000000000001</v>
      </c>
      <c r="L7" s="18">
        <v>1580.73</v>
      </c>
      <c r="M7" t="s">
        <v>75</v>
      </c>
      <c r="N7" t="s">
        <v>83</v>
      </c>
      <c r="O7" t="s">
        <v>75</v>
      </c>
      <c r="P7" s="19">
        <v>1.06E-2</v>
      </c>
      <c r="Q7" t="s">
        <v>89</v>
      </c>
    </row>
    <row r="8" spans="1:17" x14ac:dyDescent="0.45">
      <c r="A8" t="s">
        <v>0</v>
      </c>
      <c r="B8" t="s">
        <v>90</v>
      </c>
      <c r="C8">
        <v>434.28750000000002</v>
      </c>
      <c r="D8" s="18">
        <v>89.135000000000005</v>
      </c>
      <c r="E8" s="19">
        <v>-1.1000000000000001E-3</v>
      </c>
      <c r="F8" s="18">
        <v>-9.5000000000000001E-2</v>
      </c>
      <c r="G8" s="18">
        <v>38710.22</v>
      </c>
      <c r="H8" s="19">
        <v>-1.1000000000000001E-3</v>
      </c>
      <c r="I8" s="18">
        <v>-41.26</v>
      </c>
      <c r="J8" s="18">
        <v>34037.589999999997</v>
      </c>
      <c r="K8" s="19">
        <v>0.13730000000000001</v>
      </c>
      <c r="L8" s="18">
        <v>4672.63</v>
      </c>
      <c r="M8" t="s">
        <v>75</v>
      </c>
      <c r="N8" t="s">
        <v>83</v>
      </c>
      <c r="O8" t="s">
        <v>75</v>
      </c>
      <c r="P8" s="19">
        <v>3.2800000000000003E-2</v>
      </c>
      <c r="Q8" t="s">
        <v>89</v>
      </c>
    </row>
    <row r="9" spans="1:17" x14ac:dyDescent="0.45">
      <c r="A9" t="s">
        <v>85</v>
      </c>
      <c r="B9" t="s">
        <v>84</v>
      </c>
      <c r="C9" s="17">
        <v>24411.255000000001</v>
      </c>
      <c r="D9" s="18">
        <v>8.8000000000000007</v>
      </c>
      <c r="E9" t="s">
        <v>80</v>
      </c>
      <c r="F9" t="s">
        <v>80</v>
      </c>
      <c r="G9" s="18">
        <v>214819.04</v>
      </c>
      <c r="H9" t="s">
        <v>80</v>
      </c>
      <c r="I9" t="s">
        <v>80</v>
      </c>
      <c r="J9" s="18">
        <v>235784.45</v>
      </c>
      <c r="K9" s="19">
        <v>-8.8900000000000007E-2</v>
      </c>
      <c r="L9" s="18">
        <v>-20965.41</v>
      </c>
      <c r="M9">
        <v>3</v>
      </c>
      <c r="N9" t="s">
        <v>83</v>
      </c>
      <c r="O9" t="s">
        <v>79</v>
      </c>
      <c r="P9" s="19">
        <v>0.18210000000000001</v>
      </c>
      <c r="Q9" t="s">
        <v>82</v>
      </c>
    </row>
    <row r="10" spans="1:17" x14ac:dyDescent="0.45">
      <c r="A10" t="s">
        <v>2</v>
      </c>
      <c r="B10" t="s">
        <v>141</v>
      </c>
      <c r="C10" s="17">
        <v>4115.4229999999998</v>
      </c>
      <c r="D10" s="18">
        <v>23.34</v>
      </c>
      <c r="E10" t="s">
        <v>80</v>
      </c>
      <c r="F10" t="s">
        <v>80</v>
      </c>
      <c r="G10" s="18">
        <v>96053.97</v>
      </c>
      <c r="H10" t="s">
        <v>80</v>
      </c>
      <c r="I10" t="s">
        <v>80</v>
      </c>
      <c r="J10" s="18">
        <v>82126.84</v>
      </c>
      <c r="K10" s="19">
        <v>0.1696</v>
      </c>
      <c r="L10" s="18">
        <v>13927.13</v>
      </c>
      <c r="M10">
        <v>3</v>
      </c>
      <c r="N10" t="s">
        <v>83</v>
      </c>
      <c r="O10" t="s">
        <v>79</v>
      </c>
      <c r="P10" s="19">
        <v>8.14E-2</v>
      </c>
      <c r="Q10" t="s">
        <v>82</v>
      </c>
    </row>
    <row r="11" spans="1:17" x14ac:dyDescent="0.45">
      <c r="A11" t="s">
        <v>21</v>
      </c>
      <c r="B11" t="s">
        <v>140</v>
      </c>
      <c r="C11" s="17">
        <v>12138.802</v>
      </c>
      <c r="D11" s="18">
        <v>10.08</v>
      </c>
      <c r="E11" t="s">
        <v>80</v>
      </c>
      <c r="F11" t="s">
        <v>80</v>
      </c>
      <c r="G11" s="18">
        <v>122359.12</v>
      </c>
      <c r="H11" t="s">
        <v>80</v>
      </c>
      <c r="I11" t="s">
        <v>80</v>
      </c>
      <c r="J11" s="18">
        <v>87476.46</v>
      </c>
      <c r="K11" s="19">
        <v>0.39879999999999999</v>
      </c>
      <c r="L11" s="18">
        <v>34882.660000000003</v>
      </c>
      <c r="M11">
        <v>3</v>
      </c>
      <c r="N11" t="s">
        <v>83</v>
      </c>
      <c r="O11" t="s">
        <v>79</v>
      </c>
      <c r="P11" s="19">
        <v>0.1037</v>
      </c>
      <c r="Q11" t="s">
        <v>82</v>
      </c>
    </row>
    <row r="12" spans="1:17" x14ac:dyDescent="0.45">
      <c r="A12" t="s">
        <v>3</v>
      </c>
      <c r="B12" t="s">
        <v>139</v>
      </c>
      <c r="C12" s="17">
        <v>5357.4830000000002</v>
      </c>
      <c r="D12" s="18">
        <v>98.96</v>
      </c>
      <c r="E12" t="s">
        <v>80</v>
      </c>
      <c r="F12" t="s">
        <v>80</v>
      </c>
      <c r="G12" s="18">
        <v>530176.52</v>
      </c>
      <c r="H12" t="s">
        <v>80</v>
      </c>
      <c r="I12" t="s">
        <v>80</v>
      </c>
      <c r="J12" s="18">
        <v>235045.44</v>
      </c>
      <c r="K12" s="19">
        <v>1.2556</v>
      </c>
      <c r="L12" s="18">
        <v>295131.08</v>
      </c>
      <c r="M12">
        <v>3</v>
      </c>
      <c r="N12" t="s">
        <v>83</v>
      </c>
      <c r="O12" t="s">
        <v>79</v>
      </c>
      <c r="P12" s="19">
        <v>0.44940000000000002</v>
      </c>
      <c r="Q12" t="s">
        <v>82</v>
      </c>
    </row>
    <row r="13" spans="1:17" x14ac:dyDescent="0.45">
      <c r="A13" t="s">
        <v>47</v>
      </c>
      <c r="B13" t="s">
        <v>81</v>
      </c>
      <c r="C13" s="17">
        <v>23648.38</v>
      </c>
      <c r="D13" s="18">
        <v>1</v>
      </c>
      <c r="E13" t="s">
        <v>80</v>
      </c>
      <c r="F13" t="s">
        <v>80</v>
      </c>
      <c r="G13" s="18">
        <v>23648.38</v>
      </c>
      <c r="H13" t="s">
        <v>80</v>
      </c>
      <c r="I13" t="s">
        <v>80</v>
      </c>
      <c r="J13" s="18">
        <v>23648.38</v>
      </c>
      <c r="K13" s="40">
        <v>0</v>
      </c>
      <c r="L13" s="18">
        <v>0</v>
      </c>
      <c r="M13" t="s">
        <v>75</v>
      </c>
      <c r="N13" t="s">
        <v>79</v>
      </c>
      <c r="O13" t="s">
        <v>79</v>
      </c>
      <c r="P13" s="40">
        <v>0.02</v>
      </c>
      <c r="Q13" t="s">
        <v>77</v>
      </c>
    </row>
    <row r="14" spans="1:17" x14ac:dyDescent="0.45">
      <c r="A14" t="s">
        <v>78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49622.38</v>
      </c>
      <c r="H14" s="40">
        <v>0</v>
      </c>
      <c r="I14" s="18">
        <v>0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s="19">
        <v>4.2099999999999999E-2</v>
      </c>
      <c r="Q14" t="s">
        <v>77</v>
      </c>
    </row>
    <row r="15" spans="1:17" x14ac:dyDescent="0.45">
      <c r="A15" t="s">
        <v>76</v>
      </c>
      <c r="B15" t="s">
        <v>75</v>
      </c>
      <c r="C15" t="s">
        <v>75</v>
      </c>
      <c r="D15" t="s">
        <v>75</v>
      </c>
      <c r="E15" t="s">
        <v>75</v>
      </c>
      <c r="F15" t="s">
        <v>75</v>
      </c>
      <c r="G15" s="18">
        <v>1179808.1499999999</v>
      </c>
      <c r="H15" s="19">
        <v>-5.0000000000000001E-4</v>
      </c>
      <c r="I15" s="18">
        <v>-545.62</v>
      </c>
      <c r="J15" s="18">
        <v>808798.44</v>
      </c>
      <c r="K15" s="19">
        <v>0.39739999999999998</v>
      </c>
      <c r="L15" s="18">
        <v>321387.33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workbookViewId="0"/>
  </sheetViews>
  <sheetFormatPr defaultRowHeight="14.25" x14ac:dyDescent="0.45"/>
  <sheetData>
    <row r="1" spans="1:17" x14ac:dyDescent="0.45">
      <c r="A1" t="s">
        <v>153</v>
      </c>
    </row>
    <row r="3" spans="1:17" x14ac:dyDescent="0.45">
      <c r="A3" t="s">
        <v>145</v>
      </c>
    </row>
    <row r="4" spans="1:17" x14ac:dyDescent="0.45">
      <c r="A4" t="s">
        <v>119</v>
      </c>
      <c r="B4" t="s">
        <v>118</v>
      </c>
      <c r="C4" t="s">
        <v>117</v>
      </c>
      <c r="D4" t="s">
        <v>116</v>
      </c>
      <c r="E4" t="s">
        <v>114</v>
      </c>
      <c r="F4" t="s">
        <v>115</v>
      </c>
      <c r="G4" t="s">
        <v>113</v>
      </c>
      <c r="H4" t="s">
        <v>111</v>
      </c>
      <c r="I4" t="s">
        <v>112</v>
      </c>
      <c r="J4" t="s">
        <v>110</v>
      </c>
      <c r="K4" t="s">
        <v>108</v>
      </c>
      <c r="L4" t="s">
        <v>109</v>
      </c>
      <c r="M4" t="s">
        <v>144</v>
      </c>
      <c r="N4" t="s">
        <v>107</v>
      </c>
      <c r="O4" t="s">
        <v>106</v>
      </c>
      <c r="P4" t="s">
        <v>105</v>
      </c>
      <c r="Q4" t="s">
        <v>95</v>
      </c>
    </row>
    <row r="5" spans="1:17" x14ac:dyDescent="0.45">
      <c r="A5" t="s">
        <v>15</v>
      </c>
      <c r="B5" t="s">
        <v>94</v>
      </c>
      <c r="C5">
        <v>499</v>
      </c>
      <c r="D5" s="18">
        <v>30.574999999999999</v>
      </c>
      <c r="E5" s="19">
        <v>-1.6199999999999999E-2</v>
      </c>
      <c r="F5" s="18">
        <v>-0.505</v>
      </c>
      <c r="G5" s="18">
        <v>15256.93</v>
      </c>
      <c r="H5" s="19">
        <v>-1.6199999999999999E-2</v>
      </c>
      <c r="I5" s="18">
        <v>-252</v>
      </c>
      <c r="J5" s="18">
        <v>12946.69</v>
      </c>
      <c r="K5" s="19">
        <v>0.1784</v>
      </c>
      <c r="L5" s="18">
        <v>2310.2399999999998</v>
      </c>
      <c r="M5" t="s">
        <v>143</v>
      </c>
      <c r="N5" t="s">
        <v>83</v>
      </c>
      <c r="O5" t="s">
        <v>75</v>
      </c>
      <c r="P5" s="19">
        <v>1.46E-2</v>
      </c>
      <c r="Q5" t="s">
        <v>93</v>
      </c>
    </row>
    <row r="6" spans="1:17" x14ac:dyDescent="0.45">
      <c r="A6" t="s">
        <v>16</v>
      </c>
      <c r="B6" t="s">
        <v>142</v>
      </c>
      <c r="C6">
        <v>732</v>
      </c>
      <c r="D6" s="18">
        <v>107.515</v>
      </c>
      <c r="E6" s="19">
        <v>1.6999999999999999E-3</v>
      </c>
      <c r="F6" s="18">
        <v>0.185</v>
      </c>
      <c r="G6" s="18">
        <v>78700.98</v>
      </c>
      <c r="H6" s="19">
        <v>1.6999999999999999E-3</v>
      </c>
      <c r="I6" s="18">
        <v>135.41999999999999</v>
      </c>
      <c r="J6" s="18">
        <v>86776.77</v>
      </c>
      <c r="K6" s="19">
        <v>-9.3100000000000002E-2</v>
      </c>
      <c r="L6" s="18">
        <v>-8075.79</v>
      </c>
      <c r="M6" t="s">
        <v>75</v>
      </c>
      <c r="N6" t="s">
        <v>83</v>
      </c>
      <c r="O6" t="s">
        <v>75</v>
      </c>
      <c r="P6" s="19">
        <v>7.5499999999999998E-2</v>
      </c>
      <c r="Q6" t="s">
        <v>89</v>
      </c>
    </row>
    <row r="7" spans="1:17" x14ac:dyDescent="0.45">
      <c r="A7" t="s">
        <v>43</v>
      </c>
      <c r="B7" t="s">
        <v>91</v>
      </c>
      <c r="C7">
        <v>195</v>
      </c>
      <c r="D7" s="18">
        <v>62.424999999999997</v>
      </c>
      <c r="E7" s="19">
        <v>-6.9999999999999999E-4</v>
      </c>
      <c r="F7" s="18">
        <v>-4.4999999999999998E-2</v>
      </c>
      <c r="G7" s="18">
        <v>12172.88</v>
      </c>
      <c r="H7" s="19">
        <v>-6.9999999999999999E-4</v>
      </c>
      <c r="I7" s="18">
        <v>-8.7799999999999994</v>
      </c>
      <c r="J7" s="18">
        <v>10955.82</v>
      </c>
      <c r="K7" s="19">
        <v>0.1111</v>
      </c>
      <c r="L7" s="18">
        <v>1217.06</v>
      </c>
      <c r="M7" t="s">
        <v>75</v>
      </c>
      <c r="N7" t="s">
        <v>83</v>
      </c>
      <c r="O7" t="s">
        <v>75</v>
      </c>
      <c r="P7" s="19">
        <v>1.17E-2</v>
      </c>
      <c r="Q7" t="s">
        <v>89</v>
      </c>
    </row>
    <row r="8" spans="1:17" x14ac:dyDescent="0.45">
      <c r="A8" t="s">
        <v>0</v>
      </c>
      <c r="B8" t="s">
        <v>90</v>
      </c>
      <c r="C8">
        <v>434.28750000000002</v>
      </c>
      <c r="D8" s="18">
        <v>83.607900000000001</v>
      </c>
      <c r="E8" s="19">
        <v>-3.0999999999999999E-3</v>
      </c>
      <c r="F8" s="18">
        <v>-0.2621</v>
      </c>
      <c r="G8" s="18">
        <v>36309.870000000003</v>
      </c>
      <c r="H8" s="19">
        <v>-3.0999999999999999E-3</v>
      </c>
      <c r="I8" s="18">
        <v>-113.83</v>
      </c>
      <c r="J8" s="18">
        <v>34037.589999999997</v>
      </c>
      <c r="K8" s="19">
        <v>6.6799999999999998E-2</v>
      </c>
      <c r="L8" s="18">
        <v>2272.2800000000002</v>
      </c>
      <c r="M8" t="s">
        <v>75</v>
      </c>
      <c r="N8" t="s">
        <v>83</v>
      </c>
      <c r="O8" t="s">
        <v>75</v>
      </c>
      <c r="P8" s="19">
        <v>3.4799999999999998E-2</v>
      </c>
      <c r="Q8" t="s">
        <v>89</v>
      </c>
    </row>
    <row r="9" spans="1:17" x14ac:dyDescent="0.45">
      <c r="A9" t="s">
        <v>85</v>
      </c>
      <c r="B9" t="s">
        <v>84</v>
      </c>
      <c r="C9" s="17">
        <v>24411.255000000001</v>
      </c>
      <c r="D9" s="18">
        <v>8.7799999999999994</v>
      </c>
      <c r="E9" t="s">
        <v>80</v>
      </c>
      <c r="F9" t="s">
        <v>80</v>
      </c>
      <c r="G9" s="18">
        <v>214330.82</v>
      </c>
      <c r="H9" t="s">
        <v>80</v>
      </c>
      <c r="I9" t="s">
        <v>80</v>
      </c>
      <c r="J9" s="18">
        <v>235784.45</v>
      </c>
      <c r="K9" s="19">
        <v>-9.0999999999999998E-2</v>
      </c>
      <c r="L9" s="18">
        <v>-21453.63</v>
      </c>
      <c r="M9">
        <v>3</v>
      </c>
      <c r="N9" t="s">
        <v>83</v>
      </c>
      <c r="O9" t="s">
        <v>79</v>
      </c>
      <c r="P9" s="19">
        <v>0.2056</v>
      </c>
      <c r="Q9" t="s">
        <v>82</v>
      </c>
    </row>
    <row r="10" spans="1:17" x14ac:dyDescent="0.45">
      <c r="A10" t="s">
        <v>2</v>
      </c>
      <c r="B10" t="s">
        <v>141</v>
      </c>
      <c r="C10" s="17">
        <v>4115.4229999999998</v>
      </c>
      <c r="D10" s="18">
        <v>22.39</v>
      </c>
      <c r="E10" t="s">
        <v>80</v>
      </c>
      <c r="F10" t="s">
        <v>80</v>
      </c>
      <c r="G10" s="18">
        <v>92144.320000000007</v>
      </c>
      <c r="H10" t="s">
        <v>80</v>
      </c>
      <c r="I10" t="s">
        <v>80</v>
      </c>
      <c r="J10" s="18">
        <v>82126.84</v>
      </c>
      <c r="K10" s="19">
        <v>0.122</v>
      </c>
      <c r="L10" s="18">
        <v>10017.48</v>
      </c>
      <c r="M10" t="s">
        <v>75</v>
      </c>
      <c r="N10" t="s">
        <v>83</v>
      </c>
      <c r="O10" t="s">
        <v>79</v>
      </c>
      <c r="P10" s="19">
        <v>8.8400000000000006E-2</v>
      </c>
      <c r="Q10" t="s">
        <v>82</v>
      </c>
    </row>
    <row r="11" spans="1:17" x14ac:dyDescent="0.45">
      <c r="A11" t="s">
        <v>21</v>
      </c>
      <c r="B11" t="s">
        <v>140</v>
      </c>
      <c r="C11" s="17">
        <v>12138.802</v>
      </c>
      <c r="D11" s="18">
        <v>10.130000000000001</v>
      </c>
      <c r="E11" t="s">
        <v>80</v>
      </c>
      <c r="F11" t="s">
        <v>80</v>
      </c>
      <c r="G11" s="18">
        <v>122966.06</v>
      </c>
      <c r="H11" t="s">
        <v>80</v>
      </c>
      <c r="I11" t="s">
        <v>80</v>
      </c>
      <c r="J11" s="18">
        <v>87476.46</v>
      </c>
      <c r="K11" s="19">
        <v>0.40570000000000001</v>
      </c>
      <c r="L11" s="18">
        <v>35489.599999999999</v>
      </c>
      <c r="M11" t="s">
        <v>75</v>
      </c>
      <c r="N11" t="s">
        <v>83</v>
      </c>
      <c r="O11" t="s">
        <v>79</v>
      </c>
      <c r="P11" s="19">
        <v>0.1179</v>
      </c>
      <c r="Q11" t="s">
        <v>82</v>
      </c>
    </row>
    <row r="12" spans="1:17" x14ac:dyDescent="0.45">
      <c r="A12" t="s">
        <v>3</v>
      </c>
      <c r="B12" t="s">
        <v>139</v>
      </c>
      <c r="C12" s="17">
        <v>5357.4830000000002</v>
      </c>
      <c r="D12" s="18">
        <v>78.06</v>
      </c>
      <c r="E12" t="s">
        <v>80</v>
      </c>
      <c r="F12" t="s">
        <v>80</v>
      </c>
      <c r="G12" s="18">
        <v>418205.12</v>
      </c>
      <c r="H12" t="s">
        <v>80</v>
      </c>
      <c r="I12" t="s">
        <v>80</v>
      </c>
      <c r="J12" s="18">
        <v>235045.44</v>
      </c>
      <c r="K12" s="19">
        <v>0.77929999999999999</v>
      </c>
      <c r="L12" s="18">
        <v>183159.67999999999</v>
      </c>
      <c r="M12" t="s">
        <v>75</v>
      </c>
      <c r="N12" t="s">
        <v>83</v>
      </c>
      <c r="O12" t="s">
        <v>79</v>
      </c>
      <c r="P12" s="19">
        <v>0.40110000000000001</v>
      </c>
      <c r="Q12" t="s">
        <v>82</v>
      </c>
    </row>
    <row r="13" spans="1:17" x14ac:dyDescent="0.45">
      <c r="A13" t="s">
        <v>47</v>
      </c>
      <c r="B13" t="s">
        <v>81</v>
      </c>
      <c r="C13" s="17">
        <v>22535.03</v>
      </c>
      <c r="D13" s="18">
        <v>1</v>
      </c>
      <c r="E13" t="s">
        <v>80</v>
      </c>
      <c r="F13" t="s">
        <v>80</v>
      </c>
      <c r="G13" s="18">
        <v>22535.03</v>
      </c>
      <c r="H13" t="s">
        <v>80</v>
      </c>
      <c r="I13" t="s">
        <v>80</v>
      </c>
      <c r="J13" s="18">
        <v>22535.03</v>
      </c>
      <c r="K13" s="40">
        <v>0</v>
      </c>
      <c r="L13" s="18">
        <v>0</v>
      </c>
      <c r="M13" t="s">
        <v>75</v>
      </c>
      <c r="N13" t="s">
        <v>79</v>
      </c>
      <c r="O13" t="s">
        <v>79</v>
      </c>
      <c r="P13" s="19">
        <v>2.1600000000000001E-2</v>
      </c>
      <c r="Q13" t="s">
        <v>77</v>
      </c>
    </row>
    <row r="14" spans="1:17" x14ac:dyDescent="0.45">
      <c r="A14" t="s">
        <v>78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29978.53</v>
      </c>
      <c r="H14" s="40">
        <v>0</v>
      </c>
      <c r="I14" s="18">
        <v>0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s="19">
        <v>2.8799999999999999E-2</v>
      </c>
      <c r="Q14" t="s">
        <v>77</v>
      </c>
    </row>
    <row r="15" spans="1:17" x14ac:dyDescent="0.45">
      <c r="A15" t="s">
        <v>76</v>
      </c>
      <c r="B15" t="s">
        <v>75</v>
      </c>
      <c r="C15" t="s">
        <v>75</v>
      </c>
      <c r="D15" t="s">
        <v>75</v>
      </c>
      <c r="E15" t="s">
        <v>75</v>
      </c>
      <c r="F15" t="s">
        <v>75</v>
      </c>
      <c r="G15" s="18">
        <v>1042600.54</v>
      </c>
      <c r="H15" s="19">
        <v>-2.0000000000000001E-4</v>
      </c>
      <c r="I15" s="18">
        <v>-239.19</v>
      </c>
      <c r="J15" s="18">
        <v>807685.09</v>
      </c>
      <c r="K15" s="19">
        <v>0.25369999999999998</v>
      </c>
      <c r="L15" s="18">
        <v>204936.92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workbookViewId="0">
      <selection activeCell="G13" sqref="G13"/>
    </sheetView>
  </sheetViews>
  <sheetFormatPr defaultRowHeight="14.25" x14ac:dyDescent="0.45"/>
  <cols>
    <col min="1" max="1" width="13.53125" customWidth="1"/>
    <col min="2" max="2" width="18" customWidth="1"/>
    <col min="3" max="3" width="12.73046875" customWidth="1"/>
    <col min="7" max="7" width="17.265625" customWidth="1"/>
  </cols>
  <sheetData>
    <row r="1" spans="1:17" x14ac:dyDescent="0.45">
      <c r="A1" t="s">
        <v>146</v>
      </c>
    </row>
    <row r="3" spans="1:17" x14ac:dyDescent="0.45">
      <c r="A3" t="s">
        <v>145</v>
      </c>
    </row>
    <row r="4" spans="1:17" x14ac:dyDescent="0.45">
      <c r="A4" t="s">
        <v>119</v>
      </c>
      <c r="B4" t="s">
        <v>118</v>
      </c>
      <c r="C4" t="s">
        <v>117</v>
      </c>
      <c r="D4" t="s">
        <v>116</v>
      </c>
      <c r="E4" t="s">
        <v>114</v>
      </c>
      <c r="F4" t="s">
        <v>115</v>
      </c>
      <c r="G4" t="s">
        <v>113</v>
      </c>
      <c r="H4" t="s">
        <v>111</v>
      </c>
      <c r="I4" t="s">
        <v>112</v>
      </c>
      <c r="J4" t="s">
        <v>110</v>
      </c>
      <c r="K4" t="s">
        <v>108</v>
      </c>
      <c r="L4" t="s">
        <v>109</v>
      </c>
      <c r="M4" t="s">
        <v>144</v>
      </c>
      <c r="N4" t="s">
        <v>107</v>
      </c>
      <c r="O4" t="s">
        <v>106</v>
      </c>
      <c r="P4" t="s">
        <v>105</v>
      </c>
      <c r="Q4" t="s">
        <v>95</v>
      </c>
    </row>
    <row r="5" spans="1:17" x14ac:dyDescent="0.45">
      <c r="A5" t="s">
        <v>15</v>
      </c>
      <c r="B5" t="s">
        <v>94</v>
      </c>
      <c r="C5">
        <v>448</v>
      </c>
      <c r="D5" s="18">
        <v>30.87</v>
      </c>
      <c r="E5" t="s">
        <v>80</v>
      </c>
      <c r="F5" t="s">
        <v>80</v>
      </c>
      <c r="G5" s="18">
        <v>13829.76</v>
      </c>
      <c r="H5" t="s">
        <v>80</v>
      </c>
      <c r="I5" t="s">
        <v>80</v>
      </c>
      <c r="J5" s="18">
        <v>11378.95</v>
      </c>
      <c r="K5" s="19">
        <v>0.21540000000000001</v>
      </c>
      <c r="L5" s="18">
        <v>2450.81</v>
      </c>
      <c r="M5" t="s">
        <v>143</v>
      </c>
      <c r="N5" t="s">
        <v>83</v>
      </c>
      <c r="O5" t="s">
        <v>75</v>
      </c>
      <c r="P5" s="19">
        <v>1.3299999999999999E-2</v>
      </c>
      <c r="Q5" t="s">
        <v>93</v>
      </c>
    </row>
    <row r="6" spans="1:17" x14ac:dyDescent="0.45">
      <c r="A6" t="s">
        <v>16</v>
      </c>
      <c r="B6" t="s">
        <v>142</v>
      </c>
      <c r="C6">
        <v>659</v>
      </c>
      <c r="D6" s="18">
        <v>107.36</v>
      </c>
      <c r="E6" t="s">
        <v>80</v>
      </c>
      <c r="F6" t="s">
        <v>80</v>
      </c>
      <c r="G6" s="18">
        <v>70750.240000000005</v>
      </c>
      <c r="H6" t="s">
        <v>80</v>
      </c>
      <c r="I6" t="s">
        <v>80</v>
      </c>
      <c r="J6" s="18">
        <v>78949.710000000006</v>
      </c>
      <c r="K6" s="19">
        <v>-0.10390000000000001</v>
      </c>
      <c r="L6" s="18">
        <v>-8199.4699999999993</v>
      </c>
      <c r="M6" t="s">
        <v>75</v>
      </c>
      <c r="N6" t="s">
        <v>83</v>
      </c>
      <c r="O6" t="s">
        <v>75</v>
      </c>
      <c r="P6" s="19">
        <v>6.8000000000000005E-2</v>
      </c>
      <c r="Q6" t="s">
        <v>89</v>
      </c>
    </row>
    <row r="7" spans="1:17" x14ac:dyDescent="0.45">
      <c r="A7" t="s">
        <v>43</v>
      </c>
      <c r="B7" t="s">
        <v>91</v>
      </c>
      <c r="C7">
        <v>195</v>
      </c>
      <c r="D7" s="18">
        <v>62.38</v>
      </c>
      <c r="E7" t="s">
        <v>80</v>
      </c>
      <c r="F7" t="s">
        <v>80</v>
      </c>
      <c r="G7" s="18">
        <v>12164.1</v>
      </c>
      <c r="H7" t="s">
        <v>80</v>
      </c>
      <c r="I7" t="s">
        <v>80</v>
      </c>
      <c r="J7" s="18">
        <v>10955.82</v>
      </c>
      <c r="K7" s="19">
        <v>0.1103</v>
      </c>
      <c r="L7" s="18">
        <v>1208.28</v>
      </c>
      <c r="M7" t="s">
        <v>75</v>
      </c>
      <c r="N7" t="s">
        <v>83</v>
      </c>
      <c r="O7" t="s">
        <v>75</v>
      </c>
      <c r="P7" s="19">
        <v>1.17E-2</v>
      </c>
      <c r="Q7" t="s">
        <v>89</v>
      </c>
    </row>
    <row r="8" spans="1:17" x14ac:dyDescent="0.45">
      <c r="A8" t="s">
        <v>0</v>
      </c>
      <c r="B8" t="s">
        <v>90</v>
      </c>
      <c r="C8">
        <v>416.28750000000002</v>
      </c>
      <c r="D8" s="18">
        <v>83.64</v>
      </c>
      <c r="E8" t="s">
        <v>80</v>
      </c>
      <c r="F8" t="s">
        <v>80</v>
      </c>
      <c r="G8" s="18">
        <v>34818.29</v>
      </c>
      <c r="H8" t="s">
        <v>80</v>
      </c>
      <c r="I8" t="s">
        <v>80</v>
      </c>
      <c r="J8" s="18">
        <v>32537.11</v>
      </c>
      <c r="K8" s="19">
        <v>7.0099999999999996E-2</v>
      </c>
      <c r="L8" s="18">
        <v>2281.1799999999998</v>
      </c>
      <c r="M8" t="s">
        <v>75</v>
      </c>
      <c r="N8" t="s">
        <v>83</v>
      </c>
      <c r="O8" t="s">
        <v>75</v>
      </c>
      <c r="P8" s="19">
        <v>3.3500000000000002E-2</v>
      </c>
      <c r="Q8" t="s">
        <v>89</v>
      </c>
    </row>
    <row r="9" spans="1:17" x14ac:dyDescent="0.45">
      <c r="A9" t="s">
        <v>85</v>
      </c>
      <c r="B9" t="s">
        <v>84</v>
      </c>
      <c r="C9" s="17">
        <v>23511.483</v>
      </c>
      <c r="D9" s="18">
        <v>8.7899999999999991</v>
      </c>
      <c r="E9" t="s">
        <v>80</v>
      </c>
      <c r="F9" t="s">
        <v>80</v>
      </c>
      <c r="G9" s="18">
        <v>206665.94</v>
      </c>
      <c r="H9" t="s">
        <v>80</v>
      </c>
      <c r="I9" t="s">
        <v>80</v>
      </c>
      <c r="J9" s="18">
        <v>235784.45</v>
      </c>
      <c r="K9" s="19">
        <v>-0.1235</v>
      </c>
      <c r="L9" s="18">
        <v>-29118.51</v>
      </c>
      <c r="M9">
        <v>3</v>
      </c>
      <c r="N9" t="s">
        <v>83</v>
      </c>
      <c r="O9" t="s">
        <v>79</v>
      </c>
      <c r="P9" s="19">
        <v>0.19850000000000001</v>
      </c>
      <c r="Q9" t="s">
        <v>82</v>
      </c>
    </row>
    <row r="10" spans="1:17" x14ac:dyDescent="0.45">
      <c r="A10" t="s">
        <v>2</v>
      </c>
      <c r="B10" t="s">
        <v>141</v>
      </c>
      <c r="C10" s="17">
        <v>4369.5990000000002</v>
      </c>
      <c r="D10" s="18">
        <v>22.34</v>
      </c>
      <c r="E10" t="s">
        <v>80</v>
      </c>
      <c r="F10" t="s">
        <v>80</v>
      </c>
      <c r="G10" s="18">
        <v>97616.84</v>
      </c>
      <c r="H10" t="s">
        <v>80</v>
      </c>
      <c r="I10" t="s">
        <v>80</v>
      </c>
      <c r="J10" s="18">
        <v>82126.84</v>
      </c>
      <c r="K10" s="19">
        <v>0.18859999999999999</v>
      </c>
      <c r="L10" s="18">
        <v>15490</v>
      </c>
      <c r="M10" t="s">
        <v>75</v>
      </c>
      <c r="N10" t="s">
        <v>83</v>
      </c>
      <c r="O10" t="s">
        <v>79</v>
      </c>
      <c r="P10" s="19">
        <v>9.3799999999999994E-2</v>
      </c>
      <c r="Q10" t="s">
        <v>82</v>
      </c>
    </row>
    <row r="11" spans="1:17" x14ac:dyDescent="0.45">
      <c r="A11" t="s">
        <v>21</v>
      </c>
      <c r="B11" t="s">
        <v>140</v>
      </c>
      <c r="C11" s="17">
        <v>11358.94</v>
      </c>
      <c r="D11" s="18">
        <v>10.14</v>
      </c>
      <c r="E11" t="s">
        <v>80</v>
      </c>
      <c r="F11" t="s">
        <v>80</v>
      </c>
      <c r="G11" s="18">
        <v>115179.65</v>
      </c>
      <c r="H11" t="s">
        <v>80</v>
      </c>
      <c r="I11" t="s">
        <v>80</v>
      </c>
      <c r="J11" s="18">
        <v>87476.46</v>
      </c>
      <c r="K11" s="19">
        <v>0.31669999999999998</v>
      </c>
      <c r="L11" s="18">
        <v>27703.19</v>
      </c>
      <c r="M11" t="s">
        <v>75</v>
      </c>
      <c r="N11" t="s">
        <v>83</v>
      </c>
      <c r="O11" t="s">
        <v>79</v>
      </c>
      <c r="P11" s="19">
        <v>0.11070000000000001</v>
      </c>
      <c r="Q11" t="s">
        <v>82</v>
      </c>
    </row>
    <row r="12" spans="1:17" x14ac:dyDescent="0.45">
      <c r="A12" t="s">
        <v>3</v>
      </c>
      <c r="B12" t="s">
        <v>139</v>
      </c>
      <c r="C12" s="17">
        <v>5947.2089999999998</v>
      </c>
      <c r="D12" s="18">
        <v>77.75</v>
      </c>
      <c r="E12" t="s">
        <v>80</v>
      </c>
      <c r="F12" t="s">
        <v>80</v>
      </c>
      <c r="G12" s="18">
        <v>462395.5</v>
      </c>
      <c r="H12" t="s">
        <v>80</v>
      </c>
      <c r="I12" t="s">
        <v>80</v>
      </c>
      <c r="J12" s="18">
        <v>235045.44</v>
      </c>
      <c r="K12" s="19">
        <v>0.96730000000000005</v>
      </c>
      <c r="L12" s="18">
        <v>227350.06</v>
      </c>
      <c r="M12" t="s">
        <v>75</v>
      </c>
      <c r="N12" t="s">
        <v>83</v>
      </c>
      <c r="O12" t="s">
        <v>79</v>
      </c>
      <c r="P12" s="19">
        <v>0.44419999999999998</v>
      </c>
      <c r="Q12" t="s">
        <v>82</v>
      </c>
    </row>
    <row r="13" spans="1:17" x14ac:dyDescent="0.45">
      <c r="A13" t="s">
        <v>47</v>
      </c>
      <c r="B13" t="s">
        <v>81</v>
      </c>
      <c r="C13" s="17">
        <v>12535.03</v>
      </c>
      <c r="D13" s="18">
        <v>1</v>
      </c>
      <c r="E13" t="s">
        <v>80</v>
      </c>
      <c r="F13" t="s">
        <v>80</v>
      </c>
      <c r="G13" s="18">
        <v>12535.03</v>
      </c>
      <c r="H13" t="s">
        <v>80</v>
      </c>
      <c r="I13" t="s">
        <v>80</v>
      </c>
      <c r="J13" s="18">
        <v>12535.03</v>
      </c>
      <c r="K13" s="40">
        <v>0</v>
      </c>
      <c r="L13" s="18">
        <v>0</v>
      </c>
      <c r="M13" t="s">
        <v>75</v>
      </c>
      <c r="N13" t="s">
        <v>79</v>
      </c>
      <c r="O13" t="s">
        <v>79</v>
      </c>
      <c r="P13" s="19">
        <v>1.2E-2</v>
      </c>
      <c r="Q13" t="s">
        <v>77</v>
      </c>
    </row>
    <row r="14" spans="1:17" x14ac:dyDescent="0.45">
      <c r="A14" t="s">
        <v>78</v>
      </c>
      <c r="B14" t="s">
        <v>75</v>
      </c>
      <c r="C14" t="s">
        <v>75</v>
      </c>
      <c r="D14" t="s">
        <v>75</v>
      </c>
      <c r="E14" t="s">
        <v>75</v>
      </c>
      <c r="F14" t="s">
        <v>75</v>
      </c>
      <c r="G14" s="18">
        <v>14948.81</v>
      </c>
      <c r="H14" s="40">
        <v>0</v>
      </c>
      <c r="I14" s="18">
        <v>0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s="19">
        <v>1.44E-2</v>
      </c>
      <c r="Q14" t="s">
        <v>77</v>
      </c>
    </row>
    <row r="15" spans="1:17" x14ac:dyDescent="0.45">
      <c r="A15" t="s">
        <v>76</v>
      </c>
      <c r="B15" t="s">
        <v>75</v>
      </c>
      <c r="C15" t="s">
        <v>75</v>
      </c>
      <c r="D15" t="s">
        <v>75</v>
      </c>
      <c r="E15" t="s">
        <v>75</v>
      </c>
      <c r="F15" t="s">
        <v>75</v>
      </c>
      <c r="G15" s="18">
        <v>1040904.16</v>
      </c>
      <c r="H15" s="40">
        <v>0</v>
      </c>
      <c r="I15" s="18">
        <v>0</v>
      </c>
      <c r="J15" s="18">
        <v>786789.81</v>
      </c>
      <c r="K15" s="19">
        <v>0.30399999999999999</v>
      </c>
      <c r="L15" s="18">
        <v>239165.54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Corporate-Positions-2024-12-20-</vt:lpstr>
      <vt:lpstr>Report Dec 2023</vt:lpstr>
      <vt:lpstr>data</vt:lpstr>
      <vt:lpstr>pct</vt:lpstr>
      <vt:lpstr>Trade Notes Dec 2024</vt:lpstr>
      <vt:lpstr>adj</vt:lpstr>
      <vt:lpstr>Corporate-Positions-2024-12-19-</vt:lpstr>
      <vt:lpstr>Corporate-Positions-2023-12-12-</vt:lpstr>
      <vt:lpstr>Corporate-Positions-2023-12-10-</vt:lpstr>
      <vt:lpstr>Corporate-Positions-2022-12-13-</vt:lpstr>
      <vt:lpstr>All-Accounts-Positions-2022-12-</vt:lpstr>
      <vt:lpstr>Trade Notes June 2021</vt:lpstr>
      <vt:lpstr>Report Template</vt:lpstr>
      <vt:lpstr>Report Dec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Berdell, John</dc:creator>
  <cp:lastModifiedBy>Berdell, John</cp:lastModifiedBy>
  <dcterms:created xsi:type="dcterms:W3CDTF">2016-05-12T20:43:00Z</dcterms:created>
  <dcterms:modified xsi:type="dcterms:W3CDTF">2024-12-21T17:31:16Z</dcterms:modified>
</cp:coreProperties>
</file>